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740" firstSheet="2" activeTab="7"/>
  </bookViews>
  <sheets>
    <sheet name="12章練習2" sheetId="1" r:id="rId1"/>
    <sheet name="12章練習4" sheetId="2" r:id="rId2"/>
    <sheet name="12章練習5" sheetId="3" r:id="rId3"/>
    <sheet name="12章練習6" sheetId="4" r:id="rId4"/>
    <sheet name="12章練習7-8" sheetId="5" r:id="rId5"/>
    <sheet name="12章練習9" sheetId="6" r:id="rId6"/>
    <sheet name="12章練習10" sheetId="7" r:id="rId7"/>
    <sheet name="12章練習11" sheetId="8" r:id="rId8"/>
  </sheets>
  <definedNames/>
  <calcPr fullCalcOnLoad="1"/>
  <pivotCaches>
    <pivotCache cacheId="2" r:id="rId9"/>
  </pivotCaches>
</workbook>
</file>

<file path=xl/sharedStrings.xml><?xml version="1.0" encoding="utf-8"?>
<sst xmlns="http://schemas.openxmlformats.org/spreadsheetml/2006/main" count="402" uniqueCount="179">
  <si>
    <t>合計</t>
  </si>
  <si>
    <t>平均</t>
  </si>
  <si>
    <t>分散</t>
  </si>
  <si>
    <t>標準偏差</t>
  </si>
  <si>
    <t>10月</t>
  </si>
  <si>
    <t>11月</t>
  </si>
  <si>
    <t>12月</t>
  </si>
  <si>
    <t>変化率</t>
  </si>
  <si>
    <t>標準偏差</t>
  </si>
  <si>
    <t>3月</t>
  </si>
  <si>
    <t>4月</t>
  </si>
  <si>
    <t>5月</t>
  </si>
  <si>
    <t>6月</t>
  </si>
  <si>
    <t>7月</t>
  </si>
  <si>
    <t>8月</t>
  </si>
  <si>
    <t>9月</t>
  </si>
  <si>
    <r>
      <t>t</t>
    </r>
    <r>
      <rPr>
        <vertAlign val="subscript"/>
        <sz val="12"/>
        <rFont val="ＭＳ Ｐゴシック"/>
        <family val="3"/>
      </rPr>
      <t>0.95</t>
    </r>
  </si>
  <si>
    <r>
      <t>t</t>
    </r>
    <r>
      <rPr>
        <vertAlign val="subscript"/>
        <sz val="12"/>
        <rFont val="ＭＳ Ｐゴシック"/>
        <family val="3"/>
      </rPr>
      <t>0</t>
    </r>
  </si>
  <si>
    <r>
      <t>μ</t>
    </r>
    <r>
      <rPr>
        <vertAlign val="subscript"/>
        <sz val="12"/>
        <rFont val="Times New Roman"/>
        <family val="1"/>
      </rPr>
      <t>0</t>
    </r>
  </si>
  <si>
    <t>12章練習問題2</t>
  </si>
  <si>
    <t>12章練習問題４</t>
  </si>
  <si>
    <t>民間需要</t>
  </si>
  <si>
    <t>公的需要</t>
  </si>
  <si>
    <t>年度</t>
  </si>
  <si>
    <t>変化率（％）</t>
  </si>
  <si>
    <t>海外需要</t>
  </si>
  <si>
    <t>国内総支出</t>
  </si>
  <si>
    <t>（単位10億円）</t>
  </si>
  <si>
    <t>１２章練習問題５</t>
  </si>
  <si>
    <t>ホンダ</t>
  </si>
  <si>
    <t>マツダ</t>
  </si>
  <si>
    <t>ＴＯＰＩＸ</t>
  </si>
  <si>
    <t>出所：Yahoo! JAPAN ファイナンス　http://quote.yahoo.co.jp/</t>
  </si>
  <si>
    <t>年月</t>
  </si>
  <si>
    <t>日産自動車</t>
  </si>
  <si>
    <t>トヨタ自動車</t>
  </si>
  <si>
    <t>富士重工</t>
  </si>
  <si>
    <t>2004年 12月</t>
  </si>
  <si>
    <t>2005年  1月</t>
  </si>
  <si>
    <t>2月</t>
  </si>
  <si>
    <t>2006年  1月</t>
  </si>
  <si>
    <t>12章練習問題6</t>
  </si>
  <si>
    <t>判断</t>
  </si>
  <si>
    <t>歪度</t>
  </si>
  <si>
    <t>尖度</t>
  </si>
  <si>
    <t>jb</t>
  </si>
  <si>
    <r>
      <t>χ</t>
    </r>
    <r>
      <rPr>
        <i/>
        <vertAlign val="superscript"/>
        <sz val="12"/>
        <rFont val="Times New Roman"/>
        <family val="1"/>
      </rPr>
      <t>2</t>
    </r>
    <r>
      <rPr>
        <vertAlign val="subscript"/>
        <sz val="12"/>
        <rFont val="Times New Roman"/>
        <family val="1"/>
      </rPr>
      <t>0.95</t>
    </r>
  </si>
  <si>
    <t>正規分布</t>
  </si>
  <si>
    <t>○</t>
  </si>
  <si>
    <t>t-検定 : 等分散を仮定した２標本による検定</t>
  </si>
  <si>
    <t>変数 1</t>
  </si>
  <si>
    <t>変数 2</t>
  </si>
  <si>
    <t>平均</t>
  </si>
  <si>
    <t>分散</t>
  </si>
  <si>
    <t>観測数</t>
  </si>
  <si>
    <t>プールされた分散</t>
  </si>
  <si>
    <t>仮説平均との差異</t>
  </si>
  <si>
    <t>自由度</t>
  </si>
  <si>
    <t xml:space="preserve">t </t>
  </si>
  <si>
    <r>
      <t xml:space="preserve">P(T&lt;=t) </t>
    </r>
    <r>
      <rPr>
        <sz val="12"/>
        <rFont val="Arial"/>
        <family val="2"/>
      </rPr>
      <t>片側</t>
    </r>
  </si>
  <si>
    <r>
      <t xml:space="preserve">t </t>
    </r>
    <r>
      <rPr>
        <sz val="12"/>
        <rFont val="Arial"/>
        <family val="2"/>
      </rPr>
      <t>境界値 片側</t>
    </r>
  </si>
  <si>
    <r>
      <t xml:space="preserve">P(T&lt;=t) </t>
    </r>
    <r>
      <rPr>
        <sz val="12"/>
        <rFont val="Arial"/>
        <family val="2"/>
      </rPr>
      <t>両側</t>
    </r>
  </si>
  <si>
    <r>
      <t xml:space="preserve">t </t>
    </r>
    <r>
      <rPr>
        <sz val="12"/>
        <rFont val="Arial"/>
        <family val="2"/>
      </rPr>
      <t>境界値 両側</t>
    </r>
  </si>
  <si>
    <t>t-検定 : 分散が等しくないと仮定した２標本による検定</t>
  </si>
  <si>
    <t>日産自動車とホンダの平均値の差の検定</t>
  </si>
  <si>
    <t>ホンダとトヨタ自動車の平均値の差の検定</t>
  </si>
  <si>
    <t>紅白</t>
  </si>
  <si>
    <t>サッカー</t>
  </si>
  <si>
    <t>n</t>
  </si>
  <si>
    <t>12章練習問題7～8</t>
  </si>
  <si>
    <t>練習7</t>
  </si>
  <si>
    <t>有意水準</t>
  </si>
  <si>
    <r>
      <t>p</t>
    </r>
    <r>
      <rPr>
        <vertAlign val="subscript"/>
        <sz val="11"/>
        <rFont val="Times New Roman"/>
        <family val="1"/>
      </rPr>
      <t>0</t>
    </r>
  </si>
  <si>
    <r>
      <t>q</t>
    </r>
    <r>
      <rPr>
        <vertAlign val="subscript"/>
        <sz val="11"/>
        <rFont val="Times New Roman"/>
        <family val="1"/>
      </rPr>
      <t>0</t>
    </r>
  </si>
  <si>
    <t>P値</t>
  </si>
  <si>
    <t>練習8</t>
  </si>
  <si>
    <t>m</t>
  </si>
  <si>
    <t>比率の差</t>
  </si>
  <si>
    <t>東 京 都</t>
  </si>
  <si>
    <t>青 森 県</t>
  </si>
  <si>
    <t>神奈川県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</si>
  <si>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</si>
  <si>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</si>
  <si>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</si>
  <si>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</si>
  <si>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</si>
  <si>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</si>
  <si>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</si>
  <si>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</si>
  <si>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</si>
  <si>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</si>
  <si>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平均気温</t>
  </si>
  <si>
    <t>東北地方</t>
  </si>
  <si>
    <t>関東地方</t>
  </si>
  <si>
    <t>12章練習問題9</t>
  </si>
  <si>
    <t>P(T&lt;=t) 片側</t>
  </si>
  <si>
    <t>t 境界値 片側</t>
  </si>
  <si>
    <t>P(T&lt;=t) 両側</t>
  </si>
  <si>
    <t>t 境界値 両側</t>
  </si>
  <si>
    <t>北 海 道</t>
  </si>
  <si>
    <t>滋 賀 県</t>
  </si>
  <si>
    <t>香 川 県</t>
  </si>
  <si>
    <t>京 都 府</t>
  </si>
  <si>
    <t>愛 媛 県</t>
  </si>
  <si>
    <t>新 潟 県</t>
  </si>
  <si>
    <t>大 阪 府</t>
  </si>
  <si>
    <t>高 知 県</t>
  </si>
  <si>
    <t>富 山 県</t>
  </si>
  <si>
    <t>兵 庫 県</t>
  </si>
  <si>
    <t>福 岡 県</t>
  </si>
  <si>
    <t>石 川 県</t>
  </si>
  <si>
    <t>奈 良 県</t>
  </si>
  <si>
    <t>佐 賀 県</t>
  </si>
  <si>
    <t>福 井 県</t>
  </si>
  <si>
    <t>和歌山県</t>
  </si>
  <si>
    <t>長 崎 県</t>
  </si>
  <si>
    <t>山 梨 県</t>
  </si>
  <si>
    <t>鳥 取 県</t>
  </si>
  <si>
    <t>熊 本 県</t>
  </si>
  <si>
    <t>長 野 県</t>
  </si>
  <si>
    <t>島 根 県</t>
  </si>
  <si>
    <t>大 分 県</t>
  </si>
  <si>
    <t>岐 阜 県</t>
  </si>
  <si>
    <t>岡 山 県</t>
  </si>
  <si>
    <t>宮 崎 県</t>
  </si>
  <si>
    <t>静 岡 県</t>
  </si>
  <si>
    <t>広 島 県</t>
  </si>
  <si>
    <t>鹿児島県</t>
  </si>
  <si>
    <t>愛 知 県</t>
  </si>
  <si>
    <t>山 口 県</t>
  </si>
  <si>
    <t>沖 縄 県</t>
  </si>
  <si>
    <t>三 重 県</t>
  </si>
  <si>
    <t>徳 島 県</t>
  </si>
  <si>
    <t>都道府県</t>
  </si>
  <si>
    <t>交通事故死者数</t>
  </si>
  <si>
    <t>総計</t>
  </si>
  <si>
    <t>メディアン</t>
  </si>
  <si>
    <t>交通事故死者数&gt;med</t>
  </si>
  <si>
    <t>交通事故死者数&gt;med</t>
  </si>
  <si>
    <t>平均気温&gt;med</t>
  </si>
  <si>
    <t>平均気温&gt;med</t>
  </si>
  <si>
    <t>データの個数 / 交通事故死者数&gt;med</t>
  </si>
  <si>
    <t>計</t>
  </si>
  <si>
    <t>気温　低</t>
  </si>
  <si>
    <t>気温　高</t>
  </si>
  <si>
    <t>事故　少</t>
  </si>
  <si>
    <t>事故　多</t>
  </si>
  <si>
    <t>分割表</t>
  </si>
  <si>
    <t>期待度数</t>
  </si>
  <si>
    <t>u</t>
  </si>
  <si>
    <t>P値</t>
  </si>
  <si>
    <t>(1) 平均値の差の検定</t>
  </si>
  <si>
    <t>(2)独立性の検定</t>
  </si>
  <si>
    <t>為替レート</t>
  </si>
  <si>
    <t>日経平均</t>
  </si>
  <si>
    <t>12章練習問題10</t>
  </si>
  <si>
    <r>
      <t>z</t>
    </r>
    <r>
      <rPr>
        <vertAlign val="superscript"/>
        <sz val="11"/>
        <rFont val="ＭＳ Ｐゴシック"/>
        <family val="3"/>
      </rPr>
      <t>3</t>
    </r>
  </si>
  <si>
    <r>
      <t>z</t>
    </r>
    <r>
      <rPr>
        <vertAlign val="superscript"/>
        <sz val="11"/>
        <rFont val="ＭＳ Ｐゴシック"/>
        <family val="3"/>
      </rPr>
      <t>4</t>
    </r>
  </si>
  <si>
    <r>
      <t>基準化統計量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z</t>
    </r>
  </si>
  <si>
    <t>JB</t>
  </si>
  <si>
    <r>
      <t>z</t>
    </r>
    <r>
      <rPr>
        <vertAlign val="subscript"/>
        <sz val="11"/>
        <rFont val="ＭＳ Ｐゴシック"/>
        <family val="3"/>
      </rPr>
      <t>1</t>
    </r>
  </si>
  <si>
    <r>
      <t>z</t>
    </r>
    <r>
      <rPr>
        <vertAlign val="subscript"/>
        <sz val="11"/>
        <rFont val="ＭＳ Ｐゴシック"/>
        <family val="3"/>
      </rPr>
      <t>2</t>
    </r>
  </si>
  <si>
    <r>
      <t>n</t>
    </r>
  </si>
  <si>
    <t>データ</t>
  </si>
  <si>
    <t>正規性の検定</t>
  </si>
  <si>
    <t>12章練習問題11</t>
  </si>
  <si>
    <t>どちらともいえない</t>
  </si>
  <si>
    <t>男性</t>
  </si>
  <si>
    <t>女性</t>
  </si>
  <si>
    <t>町村</t>
  </si>
  <si>
    <t>a. 都市規模別</t>
  </si>
  <si>
    <t>都市規模</t>
  </si>
  <si>
    <t>満足</t>
  </si>
  <si>
    <t>不満</t>
  </si>
  <si>
    <t>男女</t>
  </si>
  <si>
    <t>満足</t>
  </si>
  <si>
    <t>不満</t>
  </si>
  <si>
    <t>大都市</t>
  </si>
  <si>
    <t>中・小都市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</si>
</sst>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E+00"/>
    <numFmt numFmtId="180" formatCode="0E+00"/>
    <numFmt numFmtId="181" formatCode="0.0_);[Red]\(0.0\)"/>
    <numFmt numFmtId="182" formatCode="0.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E+00"/>
    <numFmt numFmtId="198" formatCode="0.000E+00"/>
    <numFmt numFmtId="199" formatCode="0.00_ "/>
    <numFmt numFmtId="200" formatCode="0.0_ "/>
    <numFmt numFmtId="201" formatCode="0.0%"/>
    <numFmt numFmtId="202" formatCode="0_ "/>
    <numFmt numFmtId="203" formatCode="0.00000_ "/>
    <numFmt numFmtId="204" formatCode="0.0000_ "/>
    <numFmt numFmtId="205" formatCode="0.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0"/>
    <numFmt numFmtId="211" formatCode="#,##0_ "/>
    <numFmt numFmtId="212" formatCode="#,##0.0"/>
    <numFmt numFmtId="213" formatCode="#,##0.00_ "/>
    <numFmt numFmtId="214" formatCode="0.00000000_ "/>
    <numFmt numFmtId="215" formatCode="0.0000000_ "/>
    <numFmt numFmtId="216" formatCode="0.000000_ "/>
    <numFmt numFmtId="217" formatCode="#,##0.0_ "/>
    <numFmt numFmtId="218" formatCode="#,##0.0;[Red]\-#,##0.0"/>
    <numFmt numFmtId="219" formatCode="#,###,##0.0;\-#,###,##0.0"/>
    <numFmt numFmtId="220" formatCode="#,##0.0_ ;[Red]\-#,##0.0\ "/>
    <numFmt numFmtId="221" formatCode="0.0_ ;[Red]\-0.0\ "/>
    <numFmt numFmtId="222" formatCode="###,###,##0;&quot;-&quot;##,###,##0"/>
    <numFmt numFmtId="223" formatCode="#,##0_);[Red]\(#,##0\)"/>
    <numFmt numFmtId="224" formatCode=".00%"/>
    <numFmt numFmtId="225" formatCode="#,##0.000;[Red]\-#,##0.000"/>
    <numFmt numFmtId="226" formatCode="#,##0.0000;[Red]\-#,##0.0000"/>
    <numFmt numFmtId="227" formatCode="#,##0.00000;[Red]\-#,##0.00000"/>
    <numFmt numFmtId="228" formatCode="#,##0.0000_ ;[Red]\-#,##0.0000\ "/>
    <numFmt numFmtId="229" formatCode="yyyy&quot;年&quot;m&quot;月&quot;;@"/>
    <numFmt numFmtId="230" formatCode="#,##0.000_ "/>
  </numFmts>
  <fonts count="20"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vertAlign val="subscript"/>
      <sz val="12"/>
      <name val="ＭＳ Ｐゴシック"/>
      <family val="3"/>
    </font>
    <font>
      <i/>
      <sz val="12"/>
      <name val="Times New Roman"/>
      <family val="1"/>
    </font>
    <font>
      <sz val="11"/>
      <name val="ＭＳ Ｐゴシック"/>
      <family val="3"/>
    </font>
    <font>
      <vertAlign val="subscript"/>
      <sz val="12"/>
      <name val="Times New Roman"/>
      <family val="1"/>
    </font>
    <font>
      <sz val="9"/>
      <name val="ＭＳ Ｐゴシック"/>
      <family val="3"/>
    </font>
    <font>
      <sz val="10"/>
      <name val="ＭＳ Ｐゴシック"/>
      <family val="3"/>
    </font>
    <font>
      <i/>
      <vertAlign val="superscript"/>
      <sz val="12"/>
      <name val="Times New Roman"/>
      <family val="1"/>
    </font>
    <font>
      <sz val="10.5"/>
      <name val="ＭＳ 明朝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sz val="6"/>
      <name val="明朝"/>
      <family val="3"/>
    </font>
    <font>
      <sz val="11"/>
      <name val="Times New Roman"/>
      <family val="1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1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205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0" fontId="4" fillId="0" borderId="1" xfId="0" applyNumberFormat="1" applyFont="1" applyBorder="1" applyAlignment="1">
      <alignment/>
    </xf>
    <xf numFmtId="0" fontId="8" fillId="0" borderId="0" xfId="22">
      <alignment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8" fillId="0" borderId="5" xfId="22" applyBorder="1">
      <alignment vertical="center"/>
      <protection/>
    </xf>
    <xf numFmtId="212" fontId="8" fillId="0" borderId="3" xfId="22" applyNumberFormat="1" applyBorder="1">
      <alignment vertical="center"/>
      <protection/>
    </xf>
    <xf numFmtId="0" fontId="8" fillId="0" borderId="6" xfId="22" applyBorder="1">
      <alignment vertical="center"/>
      <protection/>
    </xf>
    <xf numFmtId="212" fontId="8" fillId="0" borderId="4" xfId="22" applyNumberFormat="1" applyBorder="1">
      <alignment vertical="center"/>
      <protection/>
    </xf>
    <xf numFmtId="0" fontId="8" fillId="0" borderId="7" xfId="22" applyBorder="1">
      <alignment vertical="center"/>
      <protection/>
    </xf>
    <xf numFmtId="212" fontId="8" fillId="0" borderId="2" xfId="22" applyNumberFormat="1" applyBorder="1">
      <alignment vertical="center"/>
      <protection/>
    </xf>
    <xf numFmtId="0" fontId="8" fillId="0" borderId="3" xfId="22" applyBorder="1" applyAlignment="1">
      <alignment horizontal="center" vertical="center"/>
      <protection/>
    </xf>
    <xf numFmtId="0" fontId="8" fillId="0" borderId="1" xfId="22" applyBorder="1" applyAlignment="1">
      <alignment horizontal="center" vertical="center"/>
      <protection/>
    </xf>
    <xf numFmtId="212" fontId="10" fillId="0" borderId="3" xfId="22" applyNumberFormat="1" applyFont="1" applyBorder="1">
      <alignment vertical="center"/>
      <protection/>
    </xf>
    <xf numFmtId="212" fontId="10" fillId="0" borderId="4" xfId="22" applyNumberFormat="1" applyFont="1" applyBorder="1">
      <alignment vertical="center"/>
      <protection/>
    </xf>
    <xf numFmtId="212" fontId="10" fillId="0" borderId="2" xfId="22" applyNumberFormat="1" applyFont="1" applyBorder="1">
      <alignment vertical="center"/>
      <protection/>
    </xf>
    <xf numFmtId="0" fontId="8" fillId="0" borderId="0" xfId="22" applyFont="1">
      <alignment vertical="center"/>
      <protection/>
    </xf>
    <xf numFmtId="0" fontId="8" fillId="0" borderId="1" xfId="22" applyFont="1" applyBorder="1">
      <alignment vertical="center"/>
      <protection/>
    </xf>
    <xf numFmtId="4" fontId="8" fillId="0" borderId="1" xfId="22" applyNumberFormat="1" applyBorder="1">
      <alignment vertical="center"/>
      <protection/>
    </xf>
    <xf numFmtId="0" fontId="8" fillId="0" borderId="0" xfId="24">
      <alignment vertical="center"/>
      <protection/>
    </xf>
    <xf numFmtId="0" fontId="8" fillId="0" borderId="1" xfId="24" applyBorder="1">
      <alignment vertical="center"/>
      <protection/>
    </xf>
    <xf numFmtId="0" fontId="11" fillId="0" borderId="8" xfId="24" applyFont="1" applyBorder="1">
      <alignment vertical="center"/>
      <protection/>
    </xf>
    <xf numFmtId="0" fontId="11" fillId="0" borderId="1" xfId="24" applyFont="1" applyBorder="1">
      <alignment vertical="center"/>
      <protection/>
    </xf>
    <xf numFmtId="229" fontId="8" fillId="0" borderId="4" xfId="24" applyNumberFormat="1" applyBorder="1" applyAlignment="1" quotePrefix="1">
      <alignment horizontal="right" vertical="center"/>
      <protection/>
    </xf>
    <xf numFmtId="38" fontId="8" fillId="0" borderId="3" xfId="17" applyBorder="1" applyAlignment="1">
      <alignment vertical="center"/>
    </xf>
    <xf numFmtId="40" fontId="8" fillId="0" borderId="3" xfId="17" applyNumberFormat="1" applyBorder="1" applyAlignment="1">
      <alignment vertical="center"/>
    </xf>
    <xf numFmtId="38" fontId="8" fillId="0" borderId="4" xfId="17" applyBorder="1" applyAlignment="1">
      <alignment vertical="center"/>
    </xf>
    <xf numFmtId="40" fontId="8" fillId="0" borderId="4" xfId="17" applyNumberFormat="1" applyBorder="1" applyAlignment="1">
      <alignment vertical="center"/>
    </xf>
    <xf numFmtId="229" fontId="8" fillId="0" borderId="4" xfId="24" applyNumberFormat="1" applyBorder="1" applyAlignment="1">
      <alignment horizontal="right" vertical="center"/>
      <protection/>
    </xf>
    <xf numFmtId="229" fontId="8" fillId="0" borderId="2" xfId="24" applyNumberFormat="1" applyBorder="1" applyAlignment="1">
      <alignment horizontal="right" vertical="center"/>
      <protection/>
    </xf>
    <xf numFmtId="38" fontId="8" fillId="0" borderId="2" xfId="17" applyBorder="1" applyAlignment="1">
      <alignment vertical="center"/>
    </xf>
    <xf numFmtId="40" fontId="8" fillId="0" borderId="2" xfId="17" applyNumberFormat="1" applyBorder="1" applyAlignment="1">
      <alignment vertical="center"/>
    </xf>
    <xf numFmtId="229" fontId="8" fillId="0" borderId="9" xfId="24" applyNumberFormat="1" applyFill="1" applyBorder="1" applyAlignment="1">
      <alignment horizontal="left" vertical="center"/>
      <protection/>
    </xf>
    <xf numFmtId="0" fontId="8" fillId="0" borderId="0" xfId="24" applyFont="1">
      <alignment vertical="center"/>
      <protection/>
    </xf>
    <xf numFmtId="230" fontId="8" fillId="0" borderId="4" xfId="17" applyNumberFormat="1" applyBorder="1" applyAlignment="1">
      <alignment vertical="center"/>
    </xf>
    <xf numFmtId="230" fontId="8" fillId="0" borderId="2" xfId="17" applyNumberFormat="1" applyBorder="1" applyAlignment="1">
      <alignment vertical="center"/>
    </xf>
    <xf numFmtId="0" fontId="8" fillId="0" borderId="1" xfId="24" applyFont="1" applyBorder="1">
      <alignment vertical="center"/>
      <protection/>
    </xf>
    <xf numFmtId="230" fontId="8" fillId="0" borderId="1" xfId="24" applyNumberFormat="1" applyBorder="1">
      <alignment vertical="center"/>
      <protection/>
    </xf>
    <xf numFmtId="0" fontId="7" fillId="0" borderId="1" xfId="0" applyFont="1" applyFill="1" applyBorder="1" applyAlignment="1">
      <alignment/>
    </xf>
    <xf numFmtId="205" fontId="8" fillId="0" borderId="1" xfId="24" applyNumberFormat="1" applyBorder="1">
      <alignment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1" fillId="0" borderId="0" xfId="24" applyFont="1" applyBorder="1">
      <alignment vertical="center"/>
      <protection/>
    </xf>
    <xf numFmtId="0" fontId="8" fillId="0" borderId="0" xfId="24" applyBorder="1">
      <alignment vertical="center"/>
      <protection/>
    </xf>
    <xf numFmtId="0" fontId="13" fillId="0" borderId="0" xfId="0" applyFont="1" applyAlignment="1">
      <alignment horizontal="justify"/>
    </xf>
    <xf numFmtId="205" fontId="4" fillId="0" borderId="1" xfId="0" applyNumberFormat="1" applyFont="1" applyBorder="1" applyAlignment="1">
      <alignment/>
    </xf>
    <xf numFmtId="0" fontId="8" fillId="0" borderId="1" xfId="22" applyBorder="1">
      <alignment vertical="center"/>
      <protection/>
    </xf>
    <xf numFmtId="205" fontId="8" fillId="0" borderId="1" xfId="22" applyNumberFormat="1" applyBorder="1">
      <alignment vertical="center"/>
      <protection/>
    </xf>
    <xf numFmtId="0" fontId="10" fillId="0" borderId="1" xfId="24" applyFont="1" applyBorder="1">
      <alignment vertical="center"/>
      <protection/>
    </xf>
    <xf numFmtId="0" fontId="8" fillId="0" borderId="0" xfId="24" applyFont="1" applyBorder="1">
      <alignment vertical="center"/>
      <protection/>
    </xf>
    <xf numFmtId="230" fontId="8" fillId="0" borderId="0" xfId="24" applyNumberFormat="1" applyBorder="1">
      <alignment vertical="center"/>
      <protection/>
    </xf>
    <xf numFmtId="0" fontId="8" fillId="0" borderId="0" xfId="26" applyFont="1">
      <alignment vertical="center"/>
      <protection/>
    </xf>
    <xf numFmtId="0" fontId="8" fillId="0" borderId="0" xfId="25">
      <alignment vertical="center"/>
      <protection/>
    </xf>
    <xf numFmtId="0" fontId="8" fillId="0" borderId="1" xfId="25" applyFont="1" applyBorder="1">
      <alignment vertical="center"/>
      <protection/>
    </xf>
    <xf numFmtId="0" fontId="8" fillId="0" borderId="3" xfId="25" applyBorder="1">
      <alignment vertical="center"/>
      <protection/>
    </xf>
    <xf numFmtId="0" fontId="0" fillId="0" borderId="4" xfId="0" applyBorder="1" applyAlignment="1">
      <alignment/>
    </xf>
    <xf numFmtId="0" fontId="8" fillId="0" borderId="4" xfId="25" applyBorder="1">
      <alignment vertical="center"/>
      <protection/>
    </xf>
    <xf numFmtId="205" fontId="8" fillId="0" borderId="4" xfId="25" applyNumberFormat="1" applyBorder="1">
      <alignment vertical="center"/>
      <protection/>
    </xf>
    <xf numFmtId="205" fontId="8" fillId="0" borderId="2" xfId="25" applyNumberFormat="1" applyBorder="1">
      <alignment vertical="center"/>
      <protection/>
    </xf>
    <xf numFmtId="0" fontId="8" fillId="0" borderId="4" xfId="25" applyBorder="1" applyAlignment="1">
      <alignment horizontal="left" vertical="center" indent="1"/>
      <protection/>
    </xf>
    <xf numFmtId="0" fontId="8" fillId="0" borderId="4" xfId="25" applyFont="1" applyBorder="1">
      <alignment vertical="center"/>
      <protection/>
    </xf>
    <xf numFmtId="0" fontId="8" fillId="0" borderId="2" xfId="25" applyFont="1" applyBorder="1" applyAlignment="1">
      <alignment horizontal="left" vertical="center" indent="1"/>
      <protection/>
    </xf>
    <xf numFmtId="0" fontId="14" fillId="0" borderId="4" xfId="25" applyFont="1" applyBorder="1" applyAlignment="1">
      <alignment horizontal="center" vertical="center"/>
      <protection/>
    </xf>
    <xf numFmtId="0" fontId="8" fillId="0" borderId="3" xfId="25" applyFont="1" applyBorder="1" applyAlignment="1">
      <alignment vertical="center"/>
      <protection/>
    </xf>
    <xf numFmtId="0" fontId="8" fillId="0" borderId="9" xfId="25" applyFont="1" applyBorder="1" applyAlignment="1">
      <alignment vertical="center"/>
      <protection/>
    </xf>
    <xf numFmtId="0" fontId="8" fillId="0" borderId="6" xfId="25" applyBorder="1">
      <alignment vertical="center"/>
      <protection/>
    </xf>
    <xf numFmtId="0" fontId="8" fillId="0" borderId="12" xfId="25" applyFont="1" applyBorder="1">
      <alignment vertical="center"/>
      <protection/>
    </xf>
    <xf numFmtId="0" fontId="14" fillId="0" borderId="6" xfId="25" applyFont="1" applyBorder="1" applyAlignment="1">
      <alignment horizontal="center" vertical="center"/>
      <protection/>
    </xf>
    <xf numFmtId="0" fontId="0" fillId="0" borderId="6" xfId="0" applyBorder="1" applyAlignment="1">
      <alignment/>
    </xf>
    <xf numFmtId="0" fontId="8" fillId="0" borderId="6" xfId="25" applyFont="1" applyBorder="1">
      <alignment vertical="center"/>
      <protection/>
    </xf>
    <xf numFmtId="0" fontId="14" fillId="0" borderId="5" xfId="25" applyFont="1" applyBorder="1" applyAlignment="1">
      <alignment horizontal="center" vertical="center"/>
      <protection/>
    </xf>
    <xf numFmtId="0" fontId="10" fillId="0" borderId="1" xfId="23" applyFont="1" applyBorder="1">
      <alignment vertical="center"/>
      <protection/>
    </xf>
    <xf numFmtId="0" fontId="10" fillId="0" borderId="1" xfId="23" applyFont="1" applyBorder="1" applyAlignment="1">
      <alignment horizontal="left" vertical="center" wrapText="1"/>
      <protection/>
    </xf>
    <xf numFmtId="0" fontId="10" fillId="0" borderId="13" xfId="23" applyFont="1" applyBorder="1" applyAlignment="1">
      <alignment horizontal="left" vertical="center" wrapText="1"/>
      <protection/>
    </xf>
    <xf numFmtId="0" fontId="10" fillId="0" borderId="3" xfId="23" applyFont="1" applyBorder="1" applyAlignment="1">
      <alignment horizontal="center" vertical="center"/>
      <protection/>
    </xf>
    <xf numFmtId="218" fontId="8" fillId="0" borderId="14" xfId="17" applyNumberFormat="1" applyFont="1" applyBorder="1" applyAlignment="1">
      <alignment horizontal="right" vertical="center"/>
    </xf>
    <xf numFmtId="218" fontId="8" fillId="0" borderId="3" xfId="17" applyNumberFormat="1" applyFont="1" applyBorder="1" applyAlignment="1">
      <alignment horizontal="right" vertical="center"/>
    </xf>
    <xf numFmtId="0" fontId="10" fillId="0" borderId="4" xfId="23" applyFont="1" applyBorder="1" applyAlignment="1">
      <alignment horizontal="center" vertical="center"/>
      <protection/>
    </xf>
    <xf numFmtId="218" fontId="8" fillId="0" borderId="15" xfId="17" applyNumberFormat="1" applyFont="1" applyBorder="1" applyAlignment="1">
      <alignment horizontal="right" vertical="center"/>
    </xf>
    <xf numFmtId="218" fontId="8" fillId="0" borderId="4" xfId="17" applyNumberFormat="1" applyFont="1" applyBorder="1" applyAlignment="1">
      <alignment horizontal="right" vertical="center"/>
    </xf>
    <xf numFmtId="0" fontId="10" fillId="0" borderId="2" xfId="23" applyFont="1" applyBorder="1" applyAlignment="1">
      <alignment horizontal="center" vertical="center"/>
      <protection/>
    </xf>
    <xf numFmtId="218" fontId="8" fillId="0" borderId="16" xfId="17" applyNumberFormat="1" applyFont="1" applyBorder="1" applyAlignment="1">
      <alignment horizontal="right" vertical="center"/>
    </xf>
    <xf numFmtId="218" fontId="8" fillId="0" borderId="2" xfId="17" applyNumberFormat="1" applyFont="1" applyBorder="1" applyAlignment="1">
      <alignment horizontal="right" vertical="center"/>
    </xf>
    <xf numFmtId="0" fontId="10" fillId="0" borderId="0" xfId="23" applyFont="1" applyAlignment="1">
      <alignment horizontal="left" vertical="center"/>
      <protection/>
    </xf>
    <xf numFmtId="0" fontId="10" fillId="0" borderId="0" xfId="23" applyFont="1" applyAlignment="1">
      <alignment vertical="center" wrapText="1"/>
      <protection/>
    </xf>
    <xf numFmtId="0" fontId="8" fillId="0" borderId="0" xfId="23" applyFont="1">
      <alignment vertical="center"/>
      <protection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8" fontId="8" fillId="0" borderId="3" xfId="17" applyFont="1" applyBorder="1" applyAlignment="1">
      <alignment horizontal="right" vertical="center"/>
    </xf>
    <xf numFmtId="38" fontId="8" fillId="0" borderId="4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38" fontId="8" fillId="0" borderId="0" xfId="23" applyNumberFormat="1" applyFont="1">
      <alignment vertical="center"/>
      <protection/>
    </xf>
    <xf numFmtId="38" fontId="8" fillId="0" borderId="3" xfId="17" applyNumberFormat="1" applyFont="1" applyBorder="1" applyAlignment="1">
      <alignment horizontal="right" vertical="center"/>
    </xf>
    <xf numFmtId="38" fontId="8" fillId="0" borderId="4" xfId="17" applyNumberFormat="1" applyFont="1" applyBorder="1" applyAlignment="1">
      <alignment horizontal="right" vertical="center"/>
    </xf>
    <xf numFmtId="38" fontId="8" fillId="0" borderId="2" xfId="17" applyNumberFormat="1" applyFont="1" applyBorder="1" applyAlignment="1">
      <alignment horizontal="right" vertical="center"/>
    </xf>
    <xf numFmtId="38" fontId="0" fillId="0" borderId="20" xfId="0" applyNumberFormat="1" applyBorder="1" applyAlignment="1">
      <alignment/>
    </xf>
    <xf numFmtId="38" fontId="0" fillId="0" borderId="21" xfId="0" applyNumberFormat="1" applyBorder="1" applyAlignment="1">
      <alignment/>
    </xf>
    <xf numFmtId="0" fontId="8" fillId="0" borderId="1" xfId="23" applyFont="1" applyBorder="1">
      <alignment vertical="center"/>
      <protection/>
    </xf>
    <xf numFmtId="0" fontId="8" fillId="0" borderId="1" xfId="23" applyFont="1" applyBorder="1" applyAlignment="1">
      <alignment vertical="center"/>
      <protection/>
    </xf>
    <xf numFmtId="205" fontId="8" fillId="0" borderId="1" xfId="23" applyNumberFormat="1" applyFont="1" applyBorder="1">
      <alignment vertical="center"/>
      <protection/>
    </xf>
    <xf numFmtId="200" fontId="8" fillId="0" borderId="1" xfId="23" applyNumberFormat="1" applyFont="1" applyBorder="1">
      <alignment vertical="center"/>
      <protection/>
    </xf>
    <xf numFmtId="0" fontId="13" fillId="0" borderId="0" xfId="0" applyFont="1" applyAlignment="1">
      <alignment horizontal="left" indent="3"/>
    </xf>
    <xf numFmtId="0" fontId="8" fillId="0" borderId="1" xfId="22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55" fontId="10" fillId="0" borderId="3" xfId="22" applyNumberFormat="1" applyFont="1" applyBorder="1">
      <alignment vertical="center"/>
      <protection/>
    </xf>
    <xf numFmtId="55" fontId="10" fillId="0" borderId="4" xfId="22" applyNumberFormat="1" applyFont="1" applyBorder="1">
      <alignment vertical="center"/>
      <protection/>
    </xf>
    <xf numFmtId="55" fontId="10" fillId="0" borderId="2" xfId="22" applyNumberFormat="1" applyFont="1" applyBorder="1">
      <alignment vertical="center"/>
      <protection/>
    </xf>
    <xf numFmtId="199" fontId="4" fillId="0" borderId="3" xfId="0" applyNumberFormat="1" applyFont="1" applyBorder="1" applyAlignment="1">
      <alignment/>
    </xf>
    <xf numFmtId="199" fontId="4" fillId="0" borderId="4" xfId="0" applyNumberFormat="1" applyFont="1" applyBorder="1" applyAlignment="1">
      <alignment/>
    </xf>
    <xf numFmtId="199" fontId="4" fillId="0" borderId="2" xfId="0" applyNumberFormat="1" applyFont="1" applyBorder="1" applyAlignment="1">
      <alignment/>
    </xf>
    <xf numFmtId="205" fontId="4" fillId="0" borderId="4" xfId="0" applyNumberFormat="1" applyFont="1" applyBorder="1" applyAlignment="1">
      <alignment/>
    </xf>
    <xf numFmtId="205" fontId="4" fillId="0" borderId="2" xfId="0" applyNumberFormat="1" applyFont="1" applyBorder="1" applyAlignment="1">
      <alignment/>
    </xf>
    <xf numFmtId="0" fontId="8" fillId="0" borderId="0" xfId="22" applyBorder="1">
      <alignment vertical="center"/>
      <protection/>
    </xf>
    <xf numFmtId="205" fontId="8" fillId="0" borderId="0" xfId="22" applyNumberFormat="1" applyBorder="1">
      <alignment vertical="center"/>
      <protection/>
    </xf>
    <xf numFmtId="205" fontId="8" fillId="0" borderId="8" xfId="22" applyNumberFormat="1" applyBorder="1">
      <alignment vertical="center"/>
      <protection/>
    </xf>
    <xf numFmtId="202" fontId="8" fillId="0" borderId="1" xfId="22" applyNumberFormat="1" applyBorder="1">
      <alignment vertical="center"/>
      <protection/>
    </xf>
    <xf numFmtId="0" fontId="8" fillId="0" borderId="0" xfId="21">
      <alignment vertical="center"/>
      <protection/>
    </xf>
    <xf numFmtId="0" fontId="8" fillId="0" borderId="1" xfId="21" applyBorder="1">
      <alignment vertical="center"/>
      <protection/>
    </xf>
    <xf numFmtId="0" fontId="8" fillId="0" borderId="1" xfId="21" applyBorder="1" applyAlignment="1">
      <alignment horizontal="center" vertical="center"/>
      <protection/>
    </xf>
    <xf numFmtId="0" fontId="8" fillId="0" borderId="1" xfId="21" applyBorder="1" applyAlignment="1">
      <alignment horizontal="center" vertical="center" wrapText="1"/>
      <protection/>
    </xf>
    <xf numFmtId="0" fontId="8" fillId="0" borderId="0" xfId="21" applyAlignment="1">
      <alignment horizontal="center" vertical="center"/>
      <protection/>
    </xf>
    <xf numFmtId="38" fontId="8" fillId="0" borderId="1" xfId="17" applyBorder="1" applyAlignment="1">
      <alignment vertical="center"/>
    </xf>
    <xf numFmtId="0" fontId="8" fillId="0" borderId="0" xfId="21" applyFont="1">
      <alignment vertical="center"/>
      <protection/>
    </xf>
    <xf numFmtId="0" fontId="8" fillId="0" borderId="0" xfId="21" applyBorder="1" applyAlignment="1">
      <alignment horizontal="center" vertical="center" wrapText="1"/>
      <protection/>
    </xf>
    <xf numFmtId="0" fontId="8" fillId="0" borderId="0" xfId="21" applyBorder="1">
      <alignment vertical="center"/>
      <protection/>
    </xf>
    <xf numFmtId="38" fontId="8" fillId="0" borderId="1" xfId="21" applyNumberFormat="1" applyBorder="1">
      <alignment vertical="center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/>
      <protection/>
    </xf>
    <xf numFmtId="225" fontId="8" fillId="0" borderId="1" xfId="17" applyNumberFormat="1" applyBorder="1" applyAlignment="1">
      <alignment vertical="center"/>
    </xf>
    <xf numFmtId="0" fontId="0" fillId="0" borderId="1" xfId="0" applyBorder="1" applyAlignment="1">
      <alignment/>
    </xf>
    <xf numFmtId="0" fontId="14" fillId="0" borderId="1" xfId="23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center" vertical="center"/>
      <protection/>
    </xf>
    <xf numFmtId="205" fontId="8" fillId="0" borderId="1" xfId="23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10" fillId="0" borderId="3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27" xfId="22" applyFont="1" applyBorder="1" applyAlignment="1">
      <alignment horizontal="center" vertical="center"/>
      <protection/>
    </xf>
    <xf numFmtId="0" fontId="10" fillId="0" borderId="28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8" fillId="0" borderId="1" xfId="25" applyBorder="1" applyAlignment="1">
      <alignment horizontal="center" vertical="center"/>
      <protection/>
    </xf>
    <xf numFmtId="0" fontId="8" fillId="0" borderId="1" xfId="25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8" fillId="0" borderId="1" xfId="22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章図表_ver5" xfId="21"/>
    <cellStyle name="標準_2章解答_図表_ver5" xfId="22"/>
    <cellStyle name="標準_2章図表_ver5" xfId="23"/>
    <cellStyle name="標準_自動車株とＴＯＰＩＸ" xfId="24"/>
    <cellStyle name="標準_比率の信頼区間" xfId="25"/>
    <cellStyle name="標準_平均の信頼区間例題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6.wmf" /><Relationship Id="rId3" Type="http://schemas.openxmlformats.org/officeDocument/2006/relationships/image" Target="../media/image8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1.wmf" /><Relationship Id="rId7" Type="http://schemas.openxmlformats.org/officeDocument/2006/relationships/image" Target="../media/image12.wmf" /><Relationship Id="rId8" Type="http://schemas.openxmlformats.org/officeDocument/2006/relationships/image" Target="../media/image6.wmf" /><Relationship Id="rId9" Type="http://schemas.openxmlformats.org/officeDocument/2006/relationships/image" Target="../media/image10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5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7.wmf" /><Relationship Id="rId3" Type="http://schemas.openxmlformats.org/officeDocument/2006/relationships/image" Target="../media/image18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6.wmf" /><Relationship Id="rId3" Type="http://schemas.openxmlformats.org/officeDocument/2006/relationships/image" Target="../media/image5.wmf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9:E76" sheet="12章練習9"/>
  </cacheSource>
  <cacheFields count="5">
    <cacheField name="都道府県">
      <sharedItems containsMixedTypes="0"/>
    </cacheField>
    <cacheField name="交通事故死者数">
      <sharedItems containsSemiMixedTypes="0" containsString="0" containsMixedTypes="0" containsNumber="1" containsInteger="1"/>
    </cacheField>
    <cacheField name="平均気温">
      <sharedItems containsSemiMixedTypes="0" containsString="0" containsMixedTypes="0" containsNumber="1"/>
    </cacheField>
    <cacheField name="交通事故死者数&gt;med">
      <sharedItems containsSemiMixedTypes="0" containsString="0" containsMixedTypes="0" containsNumber="1" containsInteger="1" count="2">
        <n v="1"/>
        <n v="0"/>
      </sharedItems>
    </cacheField>
    <cacheField name="平均気温&gt;med">
      <sharedItems containsSemiMixedTypes="0" containsString="0" containsMixedTypes="0" containsNumber="1" containsInteger="1" count="2"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G30:J34" firstHeaderRow="1" firstDataRow="2" firstDataCol="1"/>
  <pivotFields count="5">
    <pivotField compact="0" outline="0" subtotalTop="0" showAll="0"/>
    <pivotField compact="0" outline="0" subtotalTop="0" showAll="0" numFmtId="38"/>
    <pivotField compact="0" outline="0" subtotalTop="0" showAll="0" numFmtId="218"/>
    <pivotField axis="axisRow" dataField="1" compact="0" outline="0" subtotalTop="0" showAll="0" numFmtId="38">
      <items count="3">
        <item x="1"/>
        <item x="0"/>
        <item t="default"/>
      </items>
    </pivotField>
    <pivotField axis="axisCol" compact="0" outline="0" subtotalTop="0" showAll="0" numFmtId="38">
      <items count="3">
        <item x="0"/>
        <item x="1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データの個数 / 交通事故死者数&gt;med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Relationship Id="rId5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J7" sqref="J7"/>
    </sheetView>
  </sheetViews>
  <sheetFormatPr defaultColWidth="8.88671875" defaultRowHeight="15"/>
  <cols>
    <col min="1" max="3" width="8.99609375" style="1" bestFit="1" customWidth="1"/>
    <col min="4" max="4" width="9.4453125" style="1" bestFit="1" customWidth="1"/>
    <col min="5" max="16384" width="8.88671875" style="1" customWidth="1"/>
  </cols>
  <sheetData>
    <row r="1" ht="14.25">
      <c r="A1" s="1" t="s">
        <v>19</v>
      </c>
    </row>
    <row r="3" spans="1:4" ht="21" customHeight="1">
      <c r="A3" s="5"/>
      <c r="B3" s="6"/>
      <c r="C3" s="2"/>
      <c r="D3" s="2"/>
    </row>
    <row r="4" spans="1:4" ht="14.25">
      <c r="A4" s="5">
        <v>1</v>
      </c>
      <c r="B4" s="5">
        <v>1</v>
      </c>
      <c r="C4" s="5">
        <f>B4-$B$9</f>
        <v>-0.5</v>
      </c>
      <c r="D4" s="5">
        <f>C4^2</f>
        <v>0.25</v>
      </c>
    </row>
    <row r="5" spans="1:4" ht="14.25">
      <c r="A5" s="7">
        <v>2</v>
      </c>
      <c r="B5" s="7">
        <v>1</v>
      </c>
      <c r="C5" s="7">
        <f>B5-$B$9</f>
        <v>-0.5</v>
      </c>
      <c r="D5" s="7">
        <f>C5^2</f>
        <v>0.25</v>
      </c>
    </row>
    <row r="6" spans="1:4" ht="14.25">
      <c r="A6" s="7">
        <v>3</v>
      </c>
      <c r="B6" s="7">
        <v>2</v>
      </c>
      <c r="C6" s="7">
        <f>B6-$B$9</f>
        <v>0.5</v>
      </c>
      <c r="D6" s="7">
        <f>C6^2</f>
        <v>0.25</v>
      </c>
    </row>
    <row r="7" spans="1:4" ht="14.25">
      <c r="A7" s="4">
        <v>4</v>
      </c>
      <c r="B7" s="7">
        <v>2</v>
      </c>
      <c r="C7" s="7">
        <f>B7-$B$9</f>
        <v>0.5</v>
      </c>
      <c r="D7" s="7">
        <f>C7^2</f>
        <v>0.25</v>
      </c>
    </row>
    <row r="8" spans="1:4" ht="14.25">
      <c r="A8" s="4" t="s">
        <v>0</v>
      </c>
      <c r="B8" s="2">
        <f>SUM(B4:B7)</f>
        <v>6</v>
      </c>
      <c r="C8" s="2">
        <f>SUM(C4:C7)</f>
        <v>0</v>
      </c>
      <c r="D8" s="8">
        <f>SUM(D4:D7)</f>
        <v>1</v>
      </c>
    </row>
    <row r="9" spans="1:4" ht="14.25">
      <c r="A9" s="2" t="s">
        <v>1</v>
      </c>
      <c r="B9" s="2">
        <f>AVERAGE(B4:B7)</f>
        <v>1.5</v>
      </c>
      <c r="C9" s="3" t="s">
        <v>2</v>
      </c>
      <c r="D9" s="2">
        <f>AVERAGE(D4:D7)</f>
        <v>0.25</v>
      </c>
    </row>
    <row r="10" spans="3:4" ht="14.25">
      <c r="C10" s="1" t="s">
        <v>3</v>
      </c>
      <c r="D10" s="9">
        <f>D9^0.5</f>
        <v>0.5</v>
      </c>
    </row>
    <row r="11" spans="1:2" ht="18.75">
      <c r="A11" s="49" t="s">
        <v>18</v>
      </c>
      <c r="B11" s="2">
        <v>0</v>
      </c>
    </row>
    <row r="12" spans="1:2" ht="18.75">
      <c r="A12" s="49" t="s">
        <v>17</v>
      </c>
      <c r="B12" s="59">
        <f>(B9-B11)/(D10/SQRT(A7-1))</f>
        <v>5.196152422706631</v>
      </c>
    </row>
    <row r="13" spans="1:5" ht="18.75">
      <c r="A13" s="49" t="s">
        <v>16</v>
      </c>
      <c r="B13" s="59">
        <f>ROUND(TINV(0.1,3),3)</f>
        <v>2.353</v>
      </c>
      <c r="D13" s="10"/>
      <c r="E13" s="1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7" r:id="rId5"/>
  <headerFooter alignWithMargins="0">
    <oddHeader>&amp;R&amp;"ＭＳ Ｐゴシック,標準"統計学Ⅱ　資料
&amp;"Arial,標準"27/11/2000
</oddHeader>
  </headerFooter>
  <legacyDrawing r:id="rId4"/>
  <oleObjects>
    <oleObject progId="Equation.3" shapeId="967451" r:id="rId1"/>
    <oleObject progId="Equation.3" shapeId="967453" r:id="rId2"/>
    <oleObject progId="Equation.3" shapeId="97480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4" sqref="C24"/>
    </sheetView>
  </sheetViews>
  <sheetFormatPr defaultColWidth="8.88671875" defaultRowHeight="15"/>
  <cols>
    <col min="1" max="3" width="8.99609375" style="1" bestFit="1" customWidth="1"/>
    <col min="4" max="4" width="9.4453125" style="1" bestFit="1" customWidth="1"/>
    <col min="5" max="16384" width="8.88671875" style="1" customWidth="1"/>
  </cols>
  <sheetData>
    <row r="1" ht="14.25">
      <c r="A1" s="1" t="s">
        <v>20</v>
      </c>
    </row>
    <row r="3" spans="1:4" ht="21" customHeight="1">
      <c r="A3" s="5"/>
      <c r="B3" s="6"/>
      <c r="C3" s="2"/>
      <c r="D3" s="2"/>
    </row>
    <row r="4" spans="1:4" ht="14.25">
      <c r="A4" s="5">
        <v>1</v>
      </c>
      <c r="B4" s="5">
        <v>3</v>
      </c>
      <c r="C4" s="5">
        <f>B4-$B$10</f>
        <v>-1.4000000000000004</v>
      </c>
      <c r="D4" s="5">
        <f>C4^2</f>
        <v>1.960000000000001</v>
      </c>
    </row>
    <row r="5" spans="1:4" ht="14.25">
      <c r="A5" s="7">
        <v>2</v>
      </c>
      <c r="B5" s="7">
        <v>3</v>
      </c>
      <c r="C5" s="7">
        <f>B5-$B$10</f>
        <v>-1.4000000000000004</v>
      </c>
      <c r="D5" s="7">
        <f>C5^2</f>
        <v>1.960000000000001</v>
      </c>
    </row>
    <row r="6" spans="1:4" ht="14.25">
      <c r="A6" s="7">
        <v>3</v>
      </c>
      <c r="B6" s="7">
        <v>5</v>
      </c>
      <c r="C6" s="7">
        <f>B6-$B$10</f>
        <v>0.5999999999999996</v>
      </c>
      <c r="D6" s="7">
        <f>C6^2</f>
        <v>0.3599999999999996</v>
      </c>
    </row>
    <row r="7" spans="1:4" ht="14.25">
      <c r="A7" s="7">
        <v>4</v>
      </c>
      <c r="B7" s="7">
        <v>5</v>
      </c>
      <c r="C7" s="7">
        <f>B7-$B$10</f>
        <v>0.5999999999999996</v>
      </c>
      <c r="D7" s="7">
        <f>C7^2</f>
        <v>0.3599999999999996</v>
      </c>
    </row>
    <row r="8" spans="1:4" ht="14.25">
      <c r="A8" s="4">
        <v>5</v>
      </c>
      <c r="B8" s="4">
        <v>6</v>
      </c>
      <c r="C8" s="4">
        <f>B8-$B$10</f>
        <v>1.5999999999999996</v>
      </c>
      <c r="D8" s="4">
        <f>C8^2</f>
        <v>2.5599999999999987</v>
      </c>
    </row>
    <row r="9" spans="1:4" ht="14.25">
      <c r="A9" s="4" t="s">
        <v>0</v>
      </c>
      <c r="B9" s="2">
        <f>SUM(B4:B8)</f>
        <v>22</v>
      </c>
      <c r="C9" s="13">
        <f>SUM(C4:C8)</f>
        <v>-1.7763568394002505E-15</v>
      </c>
      <c r="D9" s="8">
        <f>SUM(D4:D8)</f>
        <v>7.2</v>
      </c>
    </row>
    <row r="10" spans="1:4" ht="14.25">
      <c r="A10" s="2" t="s">
        <v>1</v>
      </c>
      <c r="B10" s="2">
        <f>AVERAGE(B4:B8)</f>
        <v>4.4</v>
      </c>
      <c r="C10" s="3" t="s">
        <v>2</v>
      </c>
      <c r="D10" s="2">
        <f>AVERAGE(D4:D8)</f>
        <v>1.44</v>
      </c>
    </row>
    <row r="11" spans="3:4" ht="14.25">
      <c r="C11" s="1" t="s">
        <v>3</v>
      </c>
      <c r="D11" s="9">
        <f>D10^0.5</f>
        <v>1.2</v>
      </c>
    </row>
    <row r="13" spans="1:2" ht="18.75">
      <c r="A13" s="49" t="s">
        <v>18</v>
      </c>
      <c r="B13" s="2">
        <v>4</v>
      </c>
    </row>
    <row r="14" spans="1:3" ht="18.75">
      <c r="A14" s="49" t="s">
        <v>17</v>
      </c>
      <c r="B14" s="59">
        <f>(B10-B13)/(D11/SQRT(A8-1))</f>
        <v>0.6666666666666673</v>
      </c>
      <c r="C14" s="12"/>
    </row>
    <row r="15" spans="1:2" ht="18.75">
      <c r="A15" s="49" t="s">
        <v>16</v>
      </c>
      <c r="B15" s="59">
        <f>ROUND(TINV(0.1,4),3)</f>
        <v>2.132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7" r:id="rId5"/>
  <headerFooter alignWithMargins="0">
    <oddHeader>&amp;R&amp;"ＭＳ Ｐゴシック,標準"統計学Ⅱ　資料
&amp;"Arial,標準"27/11/2000
</oddHeader>
  </headerFooter>
  <legacyDrawing r:id="rId4"/>
  <oleObjects>
    <oleObject progId="Equation.3" shapeId="1413728" r:id="rId1"/>
    <oleObject progId="Equation.3" shapeId="1413729" r:id="rId2"/>
    <oleObject progId="Equation.3" shapeId="14137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J14" sqref="J14:J15"/>
    </sheetView>
  </sheetViews>
  <sheetFormatPr defaultColWidth="8.88671875" defaultRowHeight="15"/>
  <cols>
    <col min="1" max="1" width="7.77734375" style="14" customWidth="1"/>
    <col min="2" max="5" width="9.88671875" style="14" customWidth="1"/>
    <col min="6" max="16384" width="7.99609375" style="14" customWidth="1"/>
  </cols>
  <sheetData>
    <row r="1" ht="13.5">
      <c r="A1" s="27" t="s">
        <v>28</v>
      </c>
    </row>
    <row r="2" ht="13.5">
      <c r="E2" s="14" t="s">
        <v>27</v>
      </c>
    </row>
    <row r="3" spans="1:5" ht="13.5">
      <c r="A3" s="22" t="s">
        <v>23</v>
      </c>
      <c r="B3" s="22" t="s">
        <v>21</v>
      </c>
      <c r="C3" s="23" t="s">
        <v>22</v>
      </c>
      <c r="D3" s="23" t="s">
        <v>25</v>
      </c>
      <c r="E3" s="23" t="s">
        <v>26</v>
      </c>
    </row>
    <row r="4" spans="1:5" ht="13.5">
      <c r="A4" s="16">
        <v>2000</v>
      </c>
      <c r="B4" s="24">
        <v>378867.5</v>
      </c>
      <c r="C4" s="24">
        <v>120431.9</v>
      </c>
      <c r="D4" s="24">
        <v>6322.500000000029</v>
      </c>
      <c r="E4" s="24">
        <v>505621.9</v>
      </c>
    </row>
    <row r="5" spans="1:5" ht="13.5">
      <c r="A5" s="18">
        <v>2001</v>
      </c>
      <c r="B5" s="25">
        <v>376889.8</v>
      </c>
      <c r="C5" s="25">
        <v>121096.9</v>
      </c>
      <c r="D5" s="25">
        <v>3630.8000000000175</v>
      </c>
      <c r="E5" s="25">
        <v>501617.5</v>
      </c>
    </row>
    <row r="6" spans="1:5" ht="13.5">
      <c r="A6" s="18">
        <v>2002</v>
      </c>
      <c r="B6" s="25">
        <v>378436.1</v>
      </c>
      <c r="C6" s="25">
        <v>121254.8</v>
      </c>
      <c r="D6" s="25">
        <v>7324.000000000044</v>
      </c>
      <c r="E6" s="25">
        <v>507014.9</v>
      </c>
    </row>
    <row r="7" spans="1:5" ht="13.5">
      <c r="A7" s="18">
        <v>2003</v>
      </c>
      <c r="B7" s="25">
        <v>385593.4</v>
      </c>
      <c r="C7" s="25">
        <v>120622.8</v>
      </c>
      <c r="D7" s="25">
        <v>11496.7</v>
      </c>
      <c r="E7" s="25">
        <v>517712.9</v>
      </c>
    </row>
    <row r="8" spans="1:5" ht="13.5">
      <c r="A8" s="18">
        <v>2004</v>
      </c>
      <c r="B8" s="25">
        <v>394978.4</v>
      </c>
      <c r="C8" s="25">
        <v>118801.1</v>
      </c>
      <c r="D8" s="25">
        <v>14213.8</v>
      </c>
      <c r="E8" s="25">
        <v>527993.3</v>
      </c>
    </row>
    <row r="9" spans="1:5" ht="13.5">
      <c r="A9" s="18">
        <v>2005</v>
      </c>
      <c r="B9" s="25">
        <v>405665.4</v>
      </c>
      <c r="C9" s="25">
        <v>118080.8</v>
      </c>
      <c r="D9" s="25">
        <v>17023.4</v>
      </c>
      <c r="E9" s="25">
        <v>540769.6</v>
      </c>
    </row>
    <row r="10" spans="1:5" ht="13.5">
      <c r="A10" s="20">
        <v>2006</v>
      </c>
      <c r="B10" s="26">
        <v>416098</v>
      </c>
      <c r="C10" s="26">
        <v>115901</v>
      </c>
      <c r="D10" s="26">
        <v>21440.8</v>
      </c>
      <c r="E10" s="26">
        <v>553439.8</v>
      </c>
    </row>
    <row r="12" ht="13.5">
      <c r="A12" s="27" t="s">
        <v>7</v>
      </c>
    </row>
    <row r="13" spans="1:5" ht="13.5">
      <c r="A13" s="165" t="s">
        <v>23</v>
      </c>
      <c r="B13" s="167" t="s">
        <v>24</v>
      </c>
      <c r="C13" s="168"/>
      <c r="D13" s="168"/>
      <c r="E13" s="169"/>
    </row>
    <row r="14" spans="1:5" ht="13.5">
      <c r="A14" s="166"/>
      <c r="B14" s="15" t="s">
        <v>21</v>
      </c>
      <c r="C14" s="15" t="s">
        <v>22</v>
      </c>
      <c r="D14" s="15" t="s">
        <v>25</v>
      </c>
      <c r="E14" s="15" t="s">
        <v>26</v>
      </c>
    </row>
    <row r="15" spans="1:5" ht="13.5">
      <c r="A15" s="16">
        <v>2000</v>
      </c>
      <c r="B15" s="17"/>
      <c r="C15" s="17"/>
      <c r="D15" s="17"/>
      <c r="E15" s="17"/>
    </row>
    <row r="16" spans="1:5" ht="13.5">
      <c r="A16" s="18">
        <v>2001</v>
      </c>
      <c r="B16" s="19">
        <f aca="true" t="shared" si="0" ref="B16:E21">(B5-B4)/B4*100</f>
        <v>-0.5220030749536478</v>
      </c>
      <c r="C16" s="19">
        <f t="shared" si="0"/>
        <v>0.552179281403017</v>
      </c>
      <c r="D16" s="19">
        <f t="shared" si="0"/>
        <v>-42.57334914986159</v>
      </c>
      <c r="E16" s="19">
        <f t="shared" si="0"/>
        <v>-0.7919751893658132</v>
      </c>
    </row>
    <row r="17" spans="1:5" ht="13.5">
      <c r="A17" s="18">
        <v>2002</v>
      </c>
      <c r="B17" s="19">
        <f t="shared" si="0"/>
        <v>0.4102790789243934</v>
      </c>
      <c r="C17" s="19">
        <f t="shared" si="0"/>
        <v>0.13039144684959628</v>
      </c>
      <c r="D17" s="19">
        <f t="shared" si="0"/>
        <v>101.71862950314004</v>
      </c>
      <c r="E17" s="19">
        <f t="shared" si="0"/>
        <v>1.0759991427731337</v>
      </c>
    </row>
    <row r="18" spans="1:5" ht="13.5">
      <c r="A18" s="18">
        <v>2003</v>
      </c>
      <c r="B18" s="19">
        <f t="shared" si="0"/>
        <v>1.8912836275397742</v>
      </c>
      <c r="C18" s="19">
        <f t="shared" si="0"/>
        <v>-0.5212164796775056</v>
      </c>
      <c r="D18" s="19">
        <f t="shared" si="0"/>
        <v>56.972965592571434</v>
      </c>
      <c r="E18" s="19">
        <f t="shared" si="0"/>
        <v>2.10999716181911</v>
      </c>
    </row>
    <row r="19" spans="1:5" ht="13.5">
      <c r="A19" s="18">
        <v>2004</v>
      </c>
      <c r="B19" s="19">
        <f t="shared" si="0"/>
        <v>2.433910953870061</v>
      </c>
      <c r="C19" s="19">
        <f t="shared" si="0"/>
        <v>-1.5102451609480105</v>
      </c>
      <c r="D19" s="19">
        <f t="shared" si="0"/>
        <v>23.6337383770995</v>
      </c>
      <c r="E19" s="19">
        <f t="shared" si="0"/>
        <v>1.9857337918371403</v>
      </c>
    </row>
    <row r="20" spans="1:5" ht="13.5">
      <c r="A20" s="18">
        <v>2005</v>
      </c>
      <c r="B20" s="19">
        <f t="shared" si="0"/>
        <v>2.7057175784802405</v>
      </c>
      <c r="C20" s="19">
        <f t="shared" si="0"/>
        <v>-0.6063075173546397</v>
      </c>
      <c r="D20" s="19">
        <f t="shared" si="0"/>
        <v>19.76670559597013</v>
      </c>
      <c r="E20" s="19">
        <f t="shared" si="0"/>
        <v>2.4197844934774606</v>
      </c>
    </row>
    <row r="21" spans="1:5" ht="13.5">
      <c r="A21" s="20">
        <v>2006</v>
      </c>
      <c r="B21" s="21">
        <f t="shared" si="0"/>
        <v>2.571725367753813</v>
      </c>
      <c r="C21" s="21">
        <f t="shared" si="0"/>
        <v>-1.8460240784276554</v>
      </c>
      <c r="D21" s="21">
        <f t="shared" si="0"/>
        <v>25.94898786376398</v>
      </c>
      <c r="E21" s="21">
        <f t="shared" si="0"/>
        <v>2.3429941328062953</v>
      </c>
    </row>
    <row r="22" spans="1:5" ht="13.5">
      <c r="A22" s="28" t="s">
        <v>1</v>
      </c>
      <c r="B22" s="29">
        <f>AVERAGE(B16:B21)</f>
        <v>1.5818189219357723</v>
      </c>
      <c r="C22" s="29">
        <f>AVERAGE(C16:C21)</f>
        <v>-0.633537084692533</v>
      </c>
      <c r="D22" s="29">
        <f>AVERAGE(D16:D21)</f>
        <v>30.91127963044725</v>
      </c>
      <c r="E22" s="29">
        <f>AVERAGE(E16:E21)</f>
        <v>1.5237555888912213</v>
      </c>
    </row>
    <row r="23" spans="1:5" ht="13.5">
      <c r="A23" s="28" t="s">
        <v>2</v>
      </c>
      <c r="B23" s="29">
        <f>VARP(B16:B21)</f>
        <v>1.4772441324856596</v>
      </c>
      <c r="C23" s="29">
        <f>VARP(C16:C21)</f>
        <v>0.7069348717879524</v>
      </c>
      <c r="D23" s="29">
        <f>VARP(D16:D21)</f>
        <v>1882.4452358073192</v>
      </c>
      <c r="E23" s="29">
        <f>VARP(E16:E21)</f>
        <v>1.2657029173205734</v>
      </c>
    </row>
    <row r="24" spans="1:5" ht="13.5">
      <c r="A24" s="28" t="s">
        <v>8</v>
      </c>
      <c r="B24" s="29">
        <f>STDEVP(B16:B21)</f>
        <v>1.2154193237256266</v>
      </c>
      <c r="C24" s="29">
        <f>STDEVP(C16:C21)</f>
        <v>0.8407941911002671</v>
      </c>
      <c r="D24" s="29">
        <f>STDEVP(D16:D21)</f>
        <v>43.38715519375889</v>
      </c>
      <c r="E24" s="29">
        <f>STDEVP(E16:E21)</f>
        <v>1.1250346293872795</v>
      </c>
    </row>
    <row r="26" spans="1:5" ht="18.75">
      <c r="A26" s="49" t="s">
        <v>18</v>
      </c>
      <c r="B26" s="60"/>
      <c r="C26" s="60"/>
      <c r="D26" s="60"/>
      <c r="E26" s="60">
        <v>1</v>
      </c>
    </row>
    <row r="27" spans="1:5" ht="18.75">
      <c r="A27" s="49" t="s">
        <v>17</v>
      </c>
      <c r="B27" s="60"/>
      <c r="C27" s="60"/>
      <c r="D27" s="60"/>
      <c r="E27" s="61">
        <f>(E22-E26)/(E24/(6-1))</f>
        <v>2.3277309658302294</v>
      </c>
    </row>
    <row r="28" spans="1:5" ht="18.75">
      <c r="A28" s="49" t="s">
        <v>16</v>
      </c>
      <c r="B28" s="60"/>
      <c r="C28" s="60"/>
      <c r="D28" s="60"/>
      <c r="E28" s="59">
        <f>ROUND(TINV(0.1,5),3)</f>
        <v>2.015</v>
      </c>
    </row>
  </sheetData>
  <mergeCells count="2">
    <mergeCell ref="A13:A14"/>
    <mergeCell ref="B13:E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67">
      <selection activeCell="A1" sqref="A1"/>
    </sheetView>
  </sheetViews>
  <sheetFormatPr defaultColWidth="8.88671875" defaultRowHeight="15"/>
  <cols>
    <col min="1" max="1" width="9.99609375" style="30" customWidth="1"/>
    <col min="2" max="16384" width="7.99609375" style="30" customWidth="1"/>
  </cols>
  <sheetData>
    <row r="1" ht="13.5">
      <c r="A1" s="27" t="s">
        <v>41</v>
      </c>
    </row>
    <row r="3" spans="1:7" ht="13.5">
      <c r="A3" s="31" t="s">
        <v>33</v>
      </c>
      <c r="B3" s="32" t="s">
        <v>34</v>
      </c>
      <c r="C3" s="33" t="s">
        <v>29</v>
      </c>
      <c r="D3" s="33" t="s">
        <v>30</v>
      </c>
      <c r="E3" s="33" t="s">
        <v>35</v>
      </c>
      <c r="F3" s="33" t="s">
        <v>36</v>
      </c>
      <c r="G3" s="33" t="s">
        <v>31</v>
      </c>
    </row>
    <row r="4" spans="1:7" ht="13.5">
      <c r="A4" s="34" t="s">
        <v>37</v>
      </c>
      <c r="B4" s="35">
        <v>1114</v>
      </c>
      <c r="C4" s="35">
        <v>2655</v>
      </c>
      <c r="D4" s="35">
        <v>322</v>
      </c>
      <c r="E4" s="35">
        <v>4170</v>
      </c>
      <c r="F4" s="35">
        <v>500</v>
      </c>
      <c r="G4" s="36">
        <v>1149.63</v>
      </c>
    </row>
    <row r="5" spans="1:7" ht="13.5">
      <c r="A5" s="34" t="s">
        <v>38</v>
      </c>
      <c r="B5" s="37">
        <v>1095</v>
      </c>
      <c r="C5" s="37">
        <v>2715</v>
      </c>
      <c r="D5" s="37">
        <v>347</v>
      </c>
      <c r="E5" s="37">
        <v>4030</v>
      </c>
      <c r="F5" s="37">
        <v>489</v>
      </c>
      <c r="G5" s="38">
        <v>1146.14</v>
      </c>
    </row>
    <row r="6" spans="1:7" ht="13.5">
      <c r="A6" s="39" t="s">
        <v>39</v>
      </c>
      <c r="B6" s="37">
        <v>1125</v>
      </c>
      <c r="C6" s="37">
        <v>2805</v>
      </c>
      <c r="D6" s="37">
        <v>361</v>
      </c>
      <c r="E6" s="37">
        <v>4070</v>
      </c>
      <c r="F6" s="37">
        <v>488</v>
      </c>
      <c r="G6" s="38">
        <v>1177.41</v>
      </c>
    </row>
    <row r="7" spans="1:7" ht="13.5">
      <c r="A7" s="39" t="s">
        <v>9</v>
      </c>
      <c r="B7" s="37">
        <v>1099</v>
      </c>
      <c r="C7" s="37">
        <v>2685</v>
      </c>
      <c r="D7" s="37">
        <v>366</v>
      </c>
      <c r="E7" s="37">
        <v>3990</v>
      </c>
      <c r="F7" s="37">
        <v>524</v>
      </c>
      <c r="G7" s="38">
        <v>1182.18</v>
      </c>
    </row>
    <row r="8" spans="1:7" ht="13.5">
      <c r="A8" s="39" t="s">
        <v>10</v>
      </c>
      <c r="B8" s="37">
        <v>1040</v>
      </c>
      <c r="C8" s="37">
        <v>2545</v>
      </c>
      <c r="D8" s="37">
        <v>371</v>
      </c>
      <c r="E8" s="37">
        <v>3840</v>
      </c>
      <c r="F8" s="37">
        <v>481</v>
      </c>
      <c r="G8" s="38">
        <v>1129.93</v>
      </c>
    </row>
    <row r="9" spans="1:7" ht="13.5">
      <c r="A9" s="39" t="s">
        <v>11</v>
      </c>
      <c r="B9" s="37">
        <v>1067</v>
      </c>
      <c r="C9" s="37">
        <v>2670</v>
      </c>
      <c r="D9" s="37">
        <v>410</v>
      </c>
      <c r="E9" s="37">
        <v>3860</v>
      </c>
      <c r="F9" s="37">
        <v>455</v>
      </c>
      <c r="G9" s="38">
        <v>1144.33</v>
      </c>
    </row>
    <row r="10" spans="1:7" ht="13.5">
      <c r="A10" s="39" t="s">
        <v>12</v>
      </c>
      <c r="B10" s="37">
        <v>1098</v>
      </c>
      <c r="C10" s="37">
        <v>2735</v>
      </c>
      <c r="D10" s="37">
        <v>417</v>
      </c>
      <c r="E10" s="37">
        <v>3970</v>
      </c>
      <c r="F10" s="37">
        <v>462</v>
      </c>
      <c r="G10" s="38">
        <v>1177.2</v>
      </c>
    </row>
    <row r="11" spans="1:7" ht="13.5">
      <c r="A11" s="39" t="s">
        <v>13</v>
      </c>
      <c r="B11" s="37">
        <v>1168</v>
      </c>
      <c r="C11" s="37">
        <v>2890</v>
      </c>
      <c r="D11" s="37">
        <v>449</v>
      </c>
      <c r="E11" s="37">
        <v>4250</v>
      </c>
      <c r="F11" s="37">
        <v>483</v>
      </c>
      <c r="G11" s="38">
        <v>1204.98</v>
      </c>
    </row>
    <row r="12" spans="1:7" ht="13.5">
      <c r="A12" s="39" t="s">
        <v>14</v>
      </c>
      <c r="B12" s="37">
        <v>1156</v>
      </c>
      <c r="C12" s="37">
        <v>2960</v>
      </c>
      <c r="D12" s="37">
        <v>436</v>
      </c>
      <c r="E12" s="37">
        <v>4500</v>
      </c>
      <c r="F12" s="37">
        <v>481</v>
      </c>
      <c r="G12" s="38">
        <v>1271.29</v>
      </c>
    </row>
    <row r="13" spans="1:7" ht="13.5">
      <c r="A13" s="39" t="s">
        <v>15</v>
      </c>
      <c r="B13" s="37">
        <v>1296</v>
      </c>
      <c r="C13" s="37">
        <v>3210</v>
      </c>
      <c r="D13" s="37">
        <v>498</v>
      </c>
      <c r="E13" s="37">
        <v>5200</v>
      </c>
      <c r="F13" s="37">
        <v>513</v>
      </c>
      <c r="G13" s="38">
        <v>1412.28</v>
      </c>
    </row>
    <row r="14" spans="1:7" ht="13.5">
      <c r="A14" s="39" t="s">
        <v>4</v>
      </c>
      <c r="B14" s="37">
        <v>1208</v>
      </c>
      <c r="C14" s="37">
        <v>3170</v>
      </c>
      <c r="D14" s="37">
        <v>546</v>
      </c>
      <c r="E14" s="37">
        <v>5310</v>
      </c>
      <c r="F14" s="37">
        <v>582</v>
      </c>
      <c r="G14" s="38">
        <v>1444.73</v>
      </c>
    </row>
    <row r="15" spans="1:7" ht="13.5">
      <c r="A15" s="39" t="s">
        <v>5</v>
      </c>
      <c r="B15" s="37">
        <v>1233</v>
      </c>
      <c r="C15" s="37">
        <v>3360</v>
      </c>
      <c r="D15" s="37">
        <v>522</v>
      </c>
      <c r="E15" s="37">
        <v>5790</v>
      </c>
      <c r="F15" s="37">
        <v>640</v>
      </c>
      <c r="G15" s="38">
        <v>1536.21</v>
      </c>
    </row>
    <row r="16" spans="1:7" ht="13.5">
      <c r="A16" s="39" t="s">
        <v>6</v>
      </c>
      <c r="B16" s="37">
        <v>1195</v>
      </c>
      <c r="C16" s="37">
        <v>3365</v>
      </c>
      <c r="D16" s="37">
        <v>540</v>
      </c>
      <c r="E16" s="37">
        <v>6120</v>
      </c>
      <c r="F16" s="37">
        <v>640</v>
      </c>
      <c r="G16" s="38">
        <v>1649.76</v>
      </c>
    </row>
    <row r="17" spans="1:7" ht="13.5">
      <c r="A17" s="34" t="s">
        <v>40</v>
      </c>
      <c r="B17" s="37">
        <v>1320</v>
      </c>
      <c r="C17" s="37">
        <v>3330</v>
      </c>
      <c r="D17" s="37">
        <v>543</v>
      </c>
      <c r="E17" s="37">
        <v>6080</v>
      </c>
      <c r="F17" s="37">
        <v>613</v>
      </c>
      <c r="G17" s="38">
        <v>1710.77</v>
      </c>
    </row>
    <row r="18" spans="1:7" ht="13.5">
      <c r="A18" s="39" t="s">
        <v>39</v>
      </c>
      <c r="B18" s="37">
        <v>1340</v>
      </c>
      <c r="C18" s="37">
        <v>3450</v>
      </c>
      <c r="D18" s="37">
        <v>666</v>
      </c>
      <c r="E18" s="37">
        <v>6250</v>
      </c>
      <c r="F18" s="37">
        <v>630</v>
      </c>
      <c r="G18" s="38">
        <v>1660.42</v>
      </c>
    </row>
    <row r="19" spans="1:7" ht="13.5">
      <c r="A19" s="39" t="s">
        <v>9</v>
      </c>
      <c r="B19" s="37">
        <v>1398</v>
      </c>
      <c r="C19" s="37">
        <v>3645</v>
      </c>
      <c r="D19" s="37">
        <v>715</v>
      </c>
      <c r="E19" s="37">
        <v>6430</v>
      </c>
      <c r="F19" s="37">
        <v>692</v>
      </c>
      <c r="G19" s="38">
        <v>1728.16</v>
      </c>
    </row>
    <row r="20" spans="1:7" ht="13.5">
      <c r="A20" s="39" t="s">
        <v>10</v>
      </c>
      <c r="B20" s="37">
        <v>1497</v>
      </c>
      <c r="C20" s="37">
        <v>4045</v>
      </c>
      <c r="D20" s="37">
        <v>745</v>
      </c>
      <c r="E20" s="37">
        <v>6660</v>
      </c>
      <c r="F20" s="37">
        <v>712</v>
      </c>
      <c r="G20" s="38">
        <v>1716.43</v>
      </c>
    </row>
    <row r="21" spans="1:7" ht="13.5">
      <c r="A21" s="39" t="s">
        <v>11</v>
      </c>
      <c r="B21" s="37">
        <v>1350</v>
      </c>
      <c r="C21" s="37">
        <v>3660</v>
      </c>
      <c r="D21" s="37">
        <v>673</v>
      </c>
      <c r="E21" s="37">
        <v>5930</v>
      </c>
      <c r="F21" s="37">
        <v>665</v>
      </c>
      <c r="G21" s="38">
        <v>1579.94</v>
      </c>
    </row>
    <row r="22" spans="1:7" ht="13.5">
      <c r="A22" s="39" t="s">
        <v>12</v>
      </c>
      <c r="B22" s="37">
        <v>1250</v>
      </c>
      <c r="C22" s="37">
        <v>3630</v>
      </c>
      <c r="D22" s="37">
        <v>717</v>
      </c>
      <c r="E22" s="37">
        <v>5990</v>
      </c>
      <c r="F22" s="37">
        <v>669</v>
      </c>
      <c r="G22" s="38">
        <v>1586.96</v>
      </c>
    </row>
    <row r="23" spans="1:7" ht="13.5">
      <c r="A23" s="39" t="s">
        <v>13</v>
      </c>
      <c r="B23" s="37">
        <v>1236</v>
      </c>
      <c r="C23" s="37">
        <v>3780</v>
      </c>
      <c r="D23" s="37">
        <v>746</v>
      </c>
      <c r="E23" s="37">
        <v>6060</v>
      </c>
      <c r="F23" s="37">
        <v>705</v>
      </c>
      <c r="G23" s="38">
        <v>1572.01</v>
      </c>
    </row>
    <row r="24" spans="1:7" ht="13.5">
      <c r="A24" s="39" t="s">
        <v>14</v>
      </c>
      <c r="B24" s="37">
        <v>1334</v>
      </c>
      <c r="C24" s="37">
        <v>3990</v>
      </c>
      <c r="D24" s="37">
        <v>752</v>
      </c>
      <c r="E24" s="37">
        <v>6370</v>
      </c>
      <c r="F24" s="37">
        <v>679</v>
      </c>
      <c r="G24" s="38">
        <v>1634.46</v>
      </c>
    </row>
    <row r="25" spans="1:7" ht="13.5">
      <c r="A25" s="39" t="s">
        <v>15</v>
      </c>
      <c r="B25" s="37">
        <v>1323</v>
      </c>
      <c r="C25" s="37">
        <v>3970</v>
      </c>
      <c r="D25" s="37">
        <v>716</v>
      </c>
      <c r="E25" s="37">
        <v>6420</v>
      </c>
      <c r="F25" s="37">
        <v>672</v>
      </c>
      <c r="G25" s="38">
        <v>1610.73</v>
      </c>
    </row>
    <row r="26" spans="1:7" ht="13.5">
      <c r="A26" s="39" t="s">
        <v>4</v>
      </c>
      <c r="B26" s="37">
        <v>1401</v>
      </c>
      <c r="C26" s="37">
        <v>4140</v>
      </c>
      <c r="D26" s="37">
        <v>791</v>
      </c>
      <c r="E26" s="37">
        <v>6930</v>
      </c>
      <c r="F26" s="37">
        <v>675</v>
      </c>
      <c r="G26" s="38">
        <v>1617.42</v>
      </c>
    </row>
    <row r="27" spans="1:7" ht="13.5">
      <c r="A27" s="39" t="s">
        <v>5</v>
      </c>
      <c r="B27" s="37">
        <v>1412</v>
      </c>
      <c r="C27" s="37">
        <v>4100</v>
      </c>
      <c r="D27" s="37">
        <v>794</v>
      </c>
      <c r="E27" s="37">
        <v>7020</v>
      </c>
      <c r="F27" s="37">
        <v>601</v>
      </c>
      <c r="G27" s="38">
        <v>1603.03</v>
      </c>
    </row>
    <row r="28" spans="1:7" ht="13.5">
      <c r="A28" s="40" t="s">
        <v>6</v>
      </c>
      <c r="B28" s="41">
        <v>1433</v>
      </c>
      <c r="C28" s="41">
        <v>4700</v>
      </c>
      <c r="D28" s="41">
        <v>813</v>
      </c>
      <c r="E28" s="41">
        <v>7960</v>
      </c>
      <c r="F28" s="41">
        <v>611</v>
      </c>
      <c r="G28" s="42">
        <v>1681.07</v>
      </c>
    </row>
    <row r="29" ht="13.5">
      <c r="A29" s="43" t="s">
        <v>32</v>
      </c>
    </row>
    <row r="31" ht="13.5">
      <c r="A31" s="44" t="s">
        <v>7</v>
      </c>
    </row>
    <row r="32" spans="1:7" ht="13.5">
      <c r="A32" s="31" t="s">
        <v>33</v>
      </c>
      <c r="B32" s="32" t="s">
        <v>34</v>
      </c>
      <c r="C32" s="33" t="s">
        <v>29</v>
      </c>
      <c r="D32" s="33" t="s">
        <v>30</v>
      </c>
      <c r="E32" s="33" t="s">
        <v>35</v>
      </c>
      <c r="F32" s="33" t="s">
        <v>36</v>
      </c>
      <c r="G32" s="33" t="s">
        <v>31</v>
      </c>
    </row>
    <row r="33" spans="1:7" ht="13.5">
      <c r="A33" s="34" t="s">
        <v>37</v>
      </c>
      <c r="B33" s="35"/>
      <c r="C33" s="35"/>
      <c r="D33" s="35"/>
      <c r="E33" s="35"/>
      <c r="F33" s="35"/>
      <c r="G33" s="36"/>
    </row>
    <row r="34" spans="1:7" ht="13.5">
      <c r="A34" s="34" t="s">
        <v>38</v>
      </c>
      <c r="B34" s="45">
        <f aca="true" t="shared" si="0" ref="B34:G43">(B5-B4)/B4</f>
        <v>-0.017055655296229804</v>
      </c>
      <c r="C34" s="45">
        <f t="shared" si="0"/>
        <v>0.022598870056497175</v>
      </c>
      <c r="D34" s="45">
        <f t="shared" si="0"/>
        <v>0.07763975155279502</v>
      </c>
      <c r="E34" s="45">
        <f t="shared" si="0"/>
        <v>-0.03357314148681055</v>
      </c>
      <c r="F34" s="45">
        <f t="shared" si="0"/>
        <v>-0.022</v>
      </c>
      <c r="G34" s="45">
        <f t="shared" si="0"/>
        <v>-0.0030357593312631097</v>
      </c>
    </row>
    <row r="35" spans="1:7" ht="13.5">
      <c r="A35" s="39" t="s">
        <v>39</v>
      </c>
      <c r="B35" s="45">
        <f t="shared" si="0"/>
        <v>0.0273972602739726</v>
      </c>
      <c r="C35" s="45">
        <f t="shared" si="0"/>
        <v>0.03314917127071823</v>
      </c>
      <c r="D35" s="45">
        <f t="shared" si="0"/>
        <v>0.040345821325648415</v>
      </c>
      <c r="E35" s="45">
        <f t="shared" si="0"/>
        <v>0.009925558312655087</v>
      </c>
      <c r="F35" s="45">
        <f t="shared" si="0"/>
        <v>-0.002044989775051125</v>
      </c>
      <c r="G35" s="45">
        <f t="shared" si="0"/>
        <v>0.0272828799274085</v>
      </c>
    </row>
    <row r="36" spans="1:7" ht="13.5">
      <c r="A36" s="39" t="s">
        <v>9</v>
      </c>
      <c r="B36" s="45">
        <f t="shared" si="0"/>
        <v>-0.02311111111111111</v>
      </c>
      <c r="C36" s="45">
        <f t="shared" si="0"/>
        <v>-0.0427807486631016</v>
      </c>
      <c r="D36" s="45">
        <f t="shared" si="0"/>
        <v>0.013850415512465374</v>
      </c>
      <c r="E36" s="45">
        <f t="shared" si="0"/>
        <v>-0.019656019656019656</v>
      </c>
      <c r="F36" s="45">
        <f t="shared" si="0"/>
        <v>0.07377049180327869</v>
      </c>
      <c r="G36" s="45">
        <f t="shared" si="0"/>
        <v>0.004051265064845705</v>
      </c>
    </row>
    <row r="37" spans="1:7" ht="13.5">
      <c r="A37" s="39" t="s">
        <v>10</v>
      </c>
      <c r="B37" s="45">
        <f t="shared" si="0"/>
        <v>-0.05368516833484986</v>
      </c>
      <c r="C37" s="45">
        <f t="shared" si="0"/>
        <v>-0.0521415270018622</v>
      </c>
      <c r="D37" s="45">
        <f t="shared" si="0"/>
        <v>0.01366120218579235</v>
      </c>
      <c r="E37" s="45">
        <f t="shared" si="0"/>
        <v>-0.03759398496240601</v>
      </c>
      <c r="F37" s="45">
        <f t="shared" si="0"/>
        <v>-0.08206106870229007</v>
      </c>
      <c r="G37" s="45">
        <f t="shared" si="0"/>
        <v>-0.04419800707168113</v>
      </c>
    </row>
    <row r="38" spans="1:7" ht="13.5">
      <c r="A38" s="39" t="s">
        <v>11</v>
      </c>
      <c r="B38" s="45">
        <f t="shared" si="0"/>
        <v>0.025961538461538463</v>
      </c>
      <c r="C38" s="45">
        <f t="shared" si="0"/>
        <v>0.04911591355599214</v>
      </c>
      <c r="D38" s="45">
        <f t="shared" si="0"/>
        <v>0.10512129380053908</v>
      </c>
      <c r="E38" s="45">
        <f t="shared" si="0"/>
        <v>0.005208333333333333</v>
      </c>
      <c r="F38" s="45">
        <f t="shared" si="0"/>
        <v>-0.05405405405405406</v>
      </c>
      <c r="G38" s="45">
        <f t="shared" si="0"/>
        <v>0.012744152292619776</v>
      </c>
    </row>
    <row r="39" spans="1:7" ht="13.5">
      <c r="A39" s="39" t="s">
        <v>12</v>
      </c>
      <c r="B39" s="45">
        <f t="shared" si="0"/>
        <v>0.029053420805998126</v>
      </c>
      <c r="C39" s="45">
        <f t="shared" si="0"/>
        <v>0.024344569288389514</v>
      </c>
      <c r="D39" s="45">
        <f t="shared" si="0"/>
        <v>0.01707317073170732</v>
      </c>
      <c r="E39" s="45">
        <f t="shared" si="0"/>
        <v>0.02849740932642487</v>
      </c>
      <c r="F39" s="45">
        <f t="shared" si="0"/>
        <v>0.015384615384615385</v>
      </c>
      <c r="G39" s="45">
        <f t="shared" si="0"/>
        <v>0.028724231646465724</v>
      </c>
    </row>
    <row r="40" spans="1:7" ht="13.5">
      <c r="A40" s="39" t="s">
        <v>13</v>
      </c>
      <c r="B40" s="45">
        <f t="shared" si="0"/>
        <v>0.06375227686703097</v>
      </c>
      <c r="C40" s="45">
        <f t="shared" si="0"/>
        <v>0.056672760511883</v>
      </c>
      <c r="D40" s="45">
        <f t="shared" si="0"/>
        <v>0.07673860911270983</v>
      </c>
      <c r="E40" s="45">
        <f t="shared" si="0"/>
        <v>0.07052896725440806</v>
      </c>
      <c r="F40" s="45">
        <f t="shared" si="0"/>
        <v>0.045454545454545456</v>
      </c>
      <c r="G40" s="45">
        <f t="shared" si="0"/>
        <v>0.023598369011213025</v>
      </c>
    </row>
    <row r="41" spans="1:7" ht="13.5">
      <c r="A41" s="39" t="s">
        <v>14</v>
      </c>
      <c r="B41" s="45">
        <f t="shared" si="0"/>
        <v>-0.010273972602739725</v>
      </c>
      <c r="C41" s="45">
        <f t="shared" si="0"/>
        <v>0.02422145328719723</v>
      </c>
      <c r="D41" s="45">
        <f t="shared" si="0"/>
        <v>-0.028953229398663696</v>
      </c>
      <c r="E41" s="45">
        <f t="shared" si="0"/>
        <v>0.058823529411764705</v>
      </c>
      <c r="F41" s="45">
        <f t="shared" si="0"/>
        <v>-0.004140786749482402</v>
      </c>
      <c r="G41" s="45">
        <f t="shared" si="0"/>
        <v>0.05502995900346889</v>
      </c>
    </row>
    <row r="42" spans="1:7" ht="13.5">
      <c r="A42" s="39" t="s">
        <v>15</v>
      </c>
      <c r="B42" s="45">
        <f t="shared" si="0"/>
        <v>0.12110726643598616</v>
      </c>
      <c r="C42" s="45">
        <f t="shared" si="0"/>
        <v>0.08445945945945946</v>
      </c>
      <c r="D42" s="45">
        <f t="shared" si="0"/>
        <v>0.14220183486238533</v>
      </c>
      <c r="E42" s="45">
        <f t="shared" si="0"/>
        <v>0.15555555555555556</v>
      </c>
      <c r="F42" s="45">
        <f t="shared" si="0"/>
        <v>0.06652806652806653</v>
      </c>
      <c r="G42" s="45">
        <f t="shared" si="0"/>
        <v>0.11090309842758145</v>
      </c>
    </row>
    <row r="43" spans="1:7" ht="13.5">
      <c r="A43" s="39" t="s">
        <v>4</v>
      </c>
      <c r="B43" s="45">
        <f t="shared" si="0"/>
        <v>-0.06790123456790123</v>
      </c>
      <c r="C43" s="45">
        <f t="shared" si="0"/>
        <v>-0.012461059190031152</v>
      </c>
      <c r="D43" s="45">
        <f t="shared" si="0"/>
        <v>0.0963855421686747</v>
      </c>
      <c r="E43" s="45">
        <f t="shared" si="0"/>
        <v>0.021153846153846155</v>
      </c>
      <c r="F43" s="45">
        <f t="shared" si="0"/>
        <v>0.13450292397660818</v>
      </c>
      <c r="G43" s="45">
        <f t="shared" si="0"/>
        <v>0.022977030050698195</v>
      </c>
    </row>
    <row r="44" spans="1:7" ht="13.5">
      <c r="A44" s="39" t="s">
        <v>5</v>
      </c>
      <c r="B44" s="45">
        <f aca="true" t="shared" si="1" ref="B44:G53">(B15-B14)/B14</f>
        <v>0.020695364238410598</v>
      </c>
      <c r="C44" s="45">
        <f t="shared" si="1"/>
        <v>0.05993690851735016</v>
      </c>
      <c r="D44" s="45">
        <f t="shared" si="1"/>
        <v>-0.04395604395604396</v>
      </c>
      <c r="E44" s="45">
        <f t="shared" si="1"/>
        <v>0.0903954802259887</v>
      </c>
      <c r="F44" s="45">
        <f t="shared" si="1"/>
        <v>0.09965635738831616</v>
      </c>
      <c r="G44" s="45">
        <f t="shared" si="1"/>
        <v>0.0633197898569283</v>
      </c>
    </row>
    <row r="45" spans="1:7" ht="13.5">
      <c r="A45" s="39" t="s">
        <v>6</v>
      </c>
      <c r="B45" s="45">
        <f t="shared" si="1"/>
        <v>-0.030819140308191405</v>
      </c>
      <c r="C45" s="45">
        <f t="shared" si="1"/>
        <v>0.001488095238095238</v>
      </c>
      <c r="D45" s="45">
        <f t="shared" si="1"/>
        <v>0.034482758620689655</v>
      </c>
      <c r="E45" s="45">
        <f t="shared" si="1"/>
        <v>0.05699481865284974</v>
      </c>
      <c r="F45" s="45">
        <f t="shared" si="1"/>
        <v>0</v>
      </c>
      <c r="G45" s="45">
        <f t="shared" si="1"/>
        <v>0.07391567559122773</v>
      </c>
    </row>
    <row r="46" spans="1:7" ht="13.5">
      <c r="A46" s="34" t="s">
        <v>40</v>
      </c>
      <c r="B46" s="45">
        <f t="shared" si="1"/>
        <v>0.10460251046025104</v>
      </c>
      <c r="C46" s="45">
        <f t="shared" si="1"/>
        <v>-0.010401188707280832</v>
      </c>
      <c r="D46" s="45">
        <f t="shared" si="1"/>
        <v>0.005555555555555556</v>
      </c>
      <c r="E46" s="45">
        <f t="shared" si="1"/>
        <v>-0.006535947712418301</v>
      </c>
      <c r="F46" s="45">
        <f t="shared" si="1"/>
        <v>-0.0421875</v>
      </c>
      <c r="G46" s="45">
        <f t="shared" si="1"/>
        <v>0.036981136650179415</v>
      </c>
    </row>
    <row r="47" spans="1:7" ht="13.5">
      <c r="A47" s="39" t="s">
        <v>39</v>
      </c>
      <c r="B47" s="45">
        <f t="shared" si="1"/>
        <v>0.015151515151515152</v>
      </c>
      <c r="C47" s="45">
        <f t="shared" si="1"/>
        <v>0.036036036036036036</v>
      </c>
      <c r="D47" s="45">
        <f t="shared" si="1"/>
        <v>0.2265193370165746</v>
      </c>
      <c r="E47" s="45">
        <f t="shared" si="1"/>
        <v>0.027960526315789474</v>
      </c>
      <c r="F47" s="45">
        <f t="shared" si="1"/>
        <v>0.02773246329526917</v>
      </c>
      <c r="G47" s="45">
        <f t="shared" si="1"/>
        <v>-0.029431191802521618</v>
      </c>
    </row>
    <row r="48" spans="1:7" ht="13.5">
      <c r="A48" s="39" t="s">
        <v>9</v>
      </c>
      <c r="B48" s="45">
        <f t="shared" si="1"/>
        <v>0.04328358208955224</v>
      </c>
      <c r="C48" s="45">
        <f t="shared" si="1"/>
        <v>0.05652173913043478</v>
      </c>
      <c r="D48" s="45">
        <f t="shared" si="1"/>
        <v>0.07357357357357357</v>
      </c>
      <c r="E48" s="45">
        <f t="shared" si="1"/>
        <v>0.0288</v>
      </c>
      <c r="F48" s="45">
        <f t="shared" si="1"/>
        <v>0.09841269841269841</v>
      </c>
      <c r="G48" s="45">
        <f t="shared" si="1"/>
        <v>0.04079690680671156</v>
      </c>
    </row>
    <row r="49" spans="1:7" ht="13.5">
      <c r="A49" s="39" t="s">
        <v>10</v>
      </c>
      <c r="B49" s="45">
        <f t="shared" si="1"/>
        <v>0.07081545064377683</v>
      </c>
      <c r="C49" s="45">
        <f t="shared" si="1"/>
        <v>0.10973936899862825</v>
      </c>
      <c r="D49" s="45">
        <f t="shared" si="1"/>
        <v>0.04195804195804196</v>
      </c>
      <c r="E49" s="45">
        <f t="shared" si="1"/>
        <v>0.03576982892690513</v>
      </c>
      <c r="F49" s="45">
        <f t="shared" si="1"/>
        <v>0.028901734104046242</v>
      </c>
      <c r="G49" s="45">
        <f t="shared" si="1"/>
        <v>-0.006787565966114259</v>
      </c>
    </row>
    <row r="50" spans="1:7" ht="13.5">
      <c r="A50" s="39" t="s">
        <v>11</v>
      </c>
      <c r="B50" s="45">
        <f t="shared" si="1"/>
        <v>-0.09819639278557114</v>
      </c>
      <c r="C50" s="45">
        <f t="shared" si="1"/>
        <v>-0.09517923362175525</v>
      </c>
      <c r="D50" s="45">
        <f t="shared" si="1"/>
        <v>-0.09664429530201342</v>
      </c>
      <c r="E50" s="45">
        <f t="shared" si="1"/>
        <v>-0.10960960960960961</v>
      </c>
      <c r="F50" s="45">
        <f t="shared" si="1"/>
        <v>-0.06601123595505617</v>
      </c>
      <c r="G50" s="45">
        <f t="shared" si="1"/>
        <v>-0.0795197007742815</v>
      </c>
    </row>
    <row r="51" spans="1:7" ht="13.5">
      <c r="A51" s="39" t="s">
        <v>12</v>
      </c>
      <c r="B51" s="45">
        <f t="shared" si="1"/>
        <v>-0.07407407407407407</v>
      </c>
      <c r="C51" s="45">
        <f t="shared" si="1"/>
        <v>-0.00819672131147541</v>
      </c>
      <c r="D51" s="45">
        <f t="shared" si="1"/>
        <v>0.06537890044576523</v>
      </c>
      <c r="E51" s="45">
        <f t="shared" si="1"/>
        <v>0.01011804384485666</v>
      </c>
      <c r="F51" s="45">
        <f t="shared" si="1"/>
        <v>0.006015037593984963</v>
      </c>
      <c r="G51" s="45">
        <f t="shared" si="1"/>
        <v>0.0044432067040520405</v>
      </c>
    </row>
    <row r="52" spans="1:7" ht="13.5">
      <c r="A52" s="39" t="s">
        <v>13</v>
      </c>
      <c r="B52" s="45">
        <f t="shared" si="1"/>
        <v>-0.0112</v>
      </c>
      <c r="C52" s="45">
        <f t="shared" si="1"/>
        <v>0.04132231404958678</v>
      </c>
      <c r="D52" s="45">
        <f t="shared" si="1"/>
        <v>0.040446304044630406</v>
      </c>
      <c r="E52" s="45">
        <f t="shared" si="1"/>
        <v>0.011686143572621035</v>
      </c>
      <c r="F52" s="45">
        <f t="shared" si="1"/>
        <v>0.053811659192825115</v>
      </c>
      <c r="G52" s="45">
        <f t="shared" si="1"/>
        <v>-0.009420527297474444</v>
      </c>
    </row>
    <row r="53" spans="1:7" ht="13.5">
      <c r="A53" s="39" t="s">
        <v>14</v>
      </c>
      <c r="B53" s="45">
        <f t="shared" si="1"/>
        <v>0.07928802588996764</v>
      </c>
      <c r="C53" s="45">
        <f t="shared" si="1"/>
        <v>0.05555555555555555</v>
      </c>
      <c r="D53" s="45">
        <f t="shared" si="1"/>
        <v>0.00804289544235925</v>
      </c>
      <c r="E53" s="45">
        <f t="shared" si="1"/>
        <v>0.05115511551155116</v>
      </c>
      <c r="F53" s="45">
        <f t="shared" si="1"/>
        <v>-0.03687943262411347</v>
      </c>
      <c r="G53" s="45">
        <f t="shared" si="1"/>
        <v>0.039726210393063684</v>
      </c>
    </row>
    <row r="54" spans="1:7" ht="13.5">
      <c r="A54" s="39" t="s">
        <v>15</v>
      </c>
      <c r="B54" s="45">
        <f aca="true" t="shared" si="2" ref="B54:G55">(B25-B24)/B24</f>
        <v>-0.008245877061469266</v>
      </c>
      <c r="C54" s="45">
        <f t="shared" si="2"/>
        <v>-0.005012531328320802</v>
      </c>
      <c r="D54" s="45">
        <f t="shared" si="2"/>
        <v>-0.047872340425531915</v>
      </c>
      <c r="E54" s="45">
        <f t="shared" si="2"/>
        <v>0.007849293563579277</v>
      </c>
      <c r="F54" s="45">
        <f t="shared" si="2"/>
        <v>-0.010309278350515464</v>
      </c>
      <c r="G54" s="45">
        <f t="shared" si="2"/>
        <v>-0.014518556587496798</v>
      </c>
    </row>
    <row r="55" spans="1:7" ht="13.5">
      <c r="A55" s="39" t="s">
        <v>4</v>
      </c>
      <c r="B55" s="45">
        <f t="shared" si="2"/>
        <v>0.05895691609977324</v>
      </c>
      <c r="C55" s="45">
        <f t="shared" si="2"/>
        <v>0.042821158690176324</v>
      </c>
      <c r="D55" s="45">
        <f t="shared" si="2"/>
        <v>0.10474860335195531</v>
      </c>
      <c r="E55" s="45">
        <f t="shared" si="2"/>
        <v>0.0794392523364486</v>
      </c>
      <c r="F55" s="45">
        <f t="shared" si="2"/>
        <v>0.004464285714285714</v>
      </c>
      <c r="G55" s="45">
        <f t="shared" si="2"/>
        <v>0.004153396286156</v>
      </c>
    </row>
    <row r="56" spans="1:7" ht="13.5">
      <c r="A56" s="39" t="s">
        <v>5</v>
      </c>
      <c r="B56" s="45">
        <f aca="true" t="shared" si="3" ref="B56:G56">(B27-B26)/B26</f>
        <v>0.007851534618129907</v>
      </c>
      <c r="C56" s="45">
        <f t="shared" si="3"/>
        <v>-0.00966183574879227</v>
      </c>
      <c r="D56" s="45">
        <f t="shared" si="3"/>
        <v>0.0037926675094816687</v>
      </c>
      <c r="E56" s="45">
        <f t="shared" si="3"/>
        <v>0.012987012987012988</v>
      </c>
      <c r="F56" s="45">
        <f t="shared" si="3"/>
        <v>-0.10962962962962963</v>
      </c>
      <c r="G56" s="45">
        <f t="shared" si="3"/>
        <v>-0.008896885162790184</v>
      </c>
    </row>
    <row r="57" spans="1:7" ht="13.5">
      <c r="A57" s="40" t="s">
        <v>6</v>
      </c>
      <c r="B57" s="46">
        <f aca="true" t="shared" si="4" ref="B57:G57">(B28-B27)/B27</f>
        <v>0.014872521246458924</v>
      </c>
      <c r="C57" s="46">
        <f t="shared" si="4"/>
        <v>0.14634146341463414</v>
      </c>
      <c r="D57" s="46">
        <f t="shared" si="4"/>
        <v>0.02392947103274559</v>
      </c>
      <c r="E57" s="46">
        <f t="shared" si="4"/>
        <v>0.1339031339031339</v>
      </c>
      <c r="F57" s="46">
        <f t="shared" si="4"/>
        <v>0.016638935108153077</v>
      </c>
      <c r="G57" s="46">
        <f t="shared" si="4"/>
        <v>0.048682806934368016</v>
      </c>
    </row>
    <row r="58" spans="1:7" ht="13.5">
      <c r="A58" s="47" t="s">
        <v>1</v>
      </c>
      <c r="B58" s="48">
        <f aca="true" t="shared" si="5" ref="B58:G58">AVERAGE(B34:B57)</f>
        <v>0.01200943988084268</v>
      </c>
      <c r="C58" s="48">
        <f t="shared" si="5"/>
        <v>0.025353749645333937</v>
      </c>
      <c r="D58" s="48">
        <f t="shared" si="5"/>
        <v>0.04141749336340988</v>
      </c>
      <c r="E58" s="48">
        <f t="shared" si="5"/>
        <v>0.02874096440672751</v>
      </c>
      <c r="F58" s="48">
        <f t="shared" si="5"/>
        <v>0.010081493254854195</v>
      </c>
      <c r="G58" s="48">
        <f t="shared" si="5"/>
        <v>0.01673008002722354</v>
      </c>
    </row>
    <row r="59" spans="1:7" ht="13.5">
      <c r="A59" s="47" t="s">
        <v>2</v>
      </c>
      <c r="B59" s="48">
        <f aca="true" t="shared" si="6" ref="B59:G59">VARP(B34:B57)</f>
        <v>0.0029486580758682733</v>
      </c>
      <c r="C59" s="48">
        <f t="shared" si="6"/>
        <v>0.002597926547720244</v>
      </c>
      <c r="D59" s="48">
        <f t="shared" si="6"/>
        <v>0.004385322916267668</v>
      </c>
      <c r="E59" s="48">
        <f t="shared" si="6"/>
        <v>0.0029505520048444694</v>
      </c>
      <c r="F59" s="48">
        <f t="shared" si="6"/>
        <v>0.003418984384451021</v>
      </c>
      <c r="G59" s="48">
        <f t="shared" si="6"/>
        <v>0.0015629376280059527</v>
      </c>
    </row>
    <row r="60" spans="1:7" ht="13.5">
      <c r="A60" s="47" t="s">
        <v>8</v>
      </c>
      <c r="B60" s="48">
        <f aca="true" t="shared" si="7" ref="B60:G60">STDEVP(B34:B57)</f>
        <v>0.05430154763787376</v>
      </c>
      <c r="C60" s="48">
        <f t="shared" si="7"/>
        <v>0.050969859208361994</v>
      </c>
      <c r="D60" s="48">
        <f t="shared" si="7"/>
        <v>0.06622177071226401</v>
      </c>
      <c r="E60" s="48">
        <f t="shared" si="7"/>
        <v>0.05431898383479269</v>
      </c>
      <c r="F60" s="48">
        <f t="shared" si="7"/>
        <v>0.05847208209437236</v>
      </c>
      <c r="G60" s="48">
        <f t="shared" si="7"/>
        <v>0.039534005969620034</v>
      </c>
    </row>
    <row r="61" spans="1:7" ht="13.5">
      <c r="A61" s="63"/>
      <c r="B61" s="64"/>
      <c r="C61" s="64"/>
      <c r="D61" s="64"/>
      <c r="E61" s="64"/>
      <c r="F61" s="64"/>
      <c r="G61" s="64"/>
    </row>
    <row r="62" spans="1:7" ht="18.75">
      <c r="A62" s="49" t="s">
        <v>18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ht="18.75">
      <c r="A63" s="49" t="s">
        <v>17</v>
      </c>
      <c r="B63" s="50">
        <f aca="true" t="shared" si="8" ref="B63:G63">(B58-B62)/(B60/SQRT(23))</f>
        <v>1.060655779867741</v>
      </c>
      <c r="C63" s="50">
        <f t="shared" si="8"/>
        <v>2.3855728399446514</v>
      </c>
      <c r="D63" s="50">
        <f t="shared" si="8"/>
        <v>2.999486696782795</v>
      </c>
      <c r="E63" s="50">
        <f t="shared" si="8"/>
        <v>2.5375442134818558</v>
      </c>
      <c r="F63" s="50">
        <f t="shared" si="8"/>
        <v>0.8268756887374061</v>
      </c>
      <c r="G63" s="50">
        <f t="shared" si="8"/>
        <v>2.029509613666766</v>
      </c>
    </row>
    <row r="64" spans="1:7" ht="18.75">
      <c r="A64" s="49" t="s">
        <v>16</v>
      </c>
      <c r="B64" s="59">
        <f aca="true" t="shared" si="9" ref="B64:G64">ROUND(TINV(0.1,23),3)</f>
        <v>1.714</v>
      </c>
      <c r="C64" s="59">
        <f t="shared" si="9"/>
        <v>1.714</v>
      </c>
      <c r="D64" s="59">
        <f t="shared" si="9"/>
        <v>1.714</v>
      </c>
      <c r="E64" s="59">
        <f t="shared" si="9"/>
        <v>1.714</v>
      </c>
      <c r="F64" s="59">
        <f t="shared" si="9"/>
        <v>1.714</v>
      </c>
      <c r="G64" s="59">
        <f t="shared" si="9"/>
        <v>1.714</v>
      </c>
    </row>
    <row r="65" spans="1:7" ht="13.5">
      <c r="A65" s="47" t="s">
        <v>42</v>
      </c>
      <c r="B65" s="62" t="str">
        <f aca="true" t="shared" si="10" ref="B65:G65">IF(B63&gt;B64,"棄却される","棄却されない")</f>
        <v>棄却されない</v>
      </c>
      <c r="C65" s="62" t="str">
        <f t="shared" si="10"/>
        <v>棄却される</v>
      </c>
      <c r="D65" s="62" t="str">
        <f t="shared" si="10"/>
        <v>棄却される</v>
      </c>
      <c r="E65" s="62" t="str">
        <f t="shared" si="10"/>
        <v>棄却される</v>
      </c>
      <c r="F65" s="62" t="str">
        <f t="shared" si="10"/>
        <v>棄却されない</v>
      </c>
      <c r="G65" s="62" t="str">
        <f t="shared" si="10"/>
        <v>棄却される</v>
      </c>
    </row>
    <row r="67" spans="1:11" ht="15">
      <c r="A67" s="47" t="s">
        <v>43</v>
      </c>
      <c r="B67" s="48">
        <f>SKEW(B34:B57)</f>
        <v>-0.017708044824361224</v>
      </c>
      <c r="C67" s="31">
        <v>-0.015996</v>
      </c>
      <c r="D67" s="48">
        <f>SKEW(D34:D57)</f>
        <v>0.5623092830232217</v>
      </c>
      <c r="E67" s="48">
        <f>SKEW(E34:E57)</f>
        <v>0.08817899521044387</v>
      </c>
      <c r="F67" s="48">
        <f>SKEW(F34:F57)</f>
        <v>0.09274209792859277</v>
      </c>
      <c r="G67" s="48">
        <f>SKEW(G34:G57)</f>
        <v>-0.04184918285991841</v>
      </c>
      <c r="J67" s="58"/>
      <c r="K67"/>
    </row>
    <row r="68" spans="1:11" ht="15">
      <c r="A68" s="47" t="s">
        <v>44</v>
      </c>
      <c r="B68" s="48">
        <f>KURT(B34:B57)+3</f>
        <v>2.7195883351046746</v>
      </c>
      <c r="C68" s="31">
        <v>2.533738</v>
      </c>
      <c r="D68" s="48">
        <f>KURT(D34:D57)+3</f>
        <v>4.511842691070148</v>
      </c>
      <c r="E68" s="48">
        <f>KURT(E34:E57)+3</f>
        <v>4.422591902003594</v>
      </c>
      <c r="F68" s="48">
        <f>KURT(F34:F57)+3</f>
        <v>2.841118492934088</v>
      </c>
      <c r="G68" s="48">
        <f>KURT(G34:G57)+3</f>
        <v>3.908395963830143</v>
      </c>
      <c r="J68"/>
      <c r="K68" s="58"/>
    </row>
    <row r="69" spans="1:7" ht="13.5">
      <c r="A69" s="47" t="s">
        <v>45</v>
      </c>
      <c r="B69" s="48">
        <f aca="true" t="shared" si="11" ref="B69:G69">24/6*(B67^2+(B68-3)^2/4)</f>
        <v>0.07988500121537462</v>
      </c>
      <c r="C69" s="48">
        <f t="shared" si="11"/>
        <v>0.21842374070799994</v>
      </c>
      <c r="D69" s="48">
        <f t="shared" si="11"/>
        <v>3.5504352416385867</v>
      </c>
      <c r="E69" s="48">
        <f t="shared" si="11"/>
        <v>2.0548698604314977</v>
      </c>
      <c r="F69" s="48">
        <f t="shared" si="11"/>
        <v>0.059647720200322205</v>
      </c>
      <c r="G69" s="48">
        <f t="shared" si="11"/>
        <v>0.8321886435270658</v>
      </c>
    </row>
    <row r="70" spans="1:7" ht="20.25">
      <c r="A70" s="49" t="s">
        <v>46</v>
      </c>
      <c r="B70" s="50">
        <f aca="true" t="shared" si="12" ref="B70:G70">CHIINV(0.05,2)</f>
        <v>5.991476356825842</v>
      </c>
      <c r="C70" s="50">
        <f t="shared" si="12"/>
        <v>5.991476356825842</v>
      </c>
      <c r="D70" s="50">
        <f t="shared" si="12"/>
        <v>5.991476356825842</v>
      </c>
      <c r="E70" s="50">
        <f t="shared" si="12"/>
        <v>5.991476356825842</v>
      </c>
      <c r="F70" s="50">
        <f t="shared" si="12"/>
        <v>5.991476356825842</v>
      </c>
      <c r="G70" s="50">
        <f t="shared" si="12"/>
        <v>5.991476356825842</v>
      </c>
    </row>
    <row r="71" spans="1:7" ht="13.5">
      <c r="A71" s="47" t="s">
        <v>47</v>
      </c>
      <c r="B71" s="51" t="s">
        <v>48</v>
      </c>
      <c r="C71" s="51" t="s">
        <v>48</v>
      </c>
      <c r="D71" s="51" t="s">
        <v>48</v>
      </c>
      <c r="E71" s="51" t="s">
        <v>48</v>
      </c>
      <c r="F71" s="51" t="s">
        <v>48</v>
      </c>
      <c r="G71" s="51" t="s">
        <v>48</v>
      </c>
    </row>
    <row r="76" spans="1:4" ht="15">
      <c r="A76" s="56" t="s">
        <v>64</v>
      </c>
      <c r="B76" s="56"/>
      <c r="C76" s="57"/>
      <c r="D76"/>
    </row>
    <row r="77" spans="1:7" ht="15">
      <c r="A77" t="s">
        <v>49</v>
      </c>
      <c r="B77"/>
      <c r="C77"/>
      <c r="E77" t="s">
        <v>63</v>
      </c>
      <c r="F77"/>
      <c r="G77"/>
    </row>
    <row r="78" spans="1:7" ht="15.75" thickBot="1">
      <c r="A78"/>
      <c r="B78"/>
      <c r="C78"/>
      <c r="E78"/>
      <c r="F78"/>
      <c r="G78"/>
    </row>
    <row r="79" spans="1:7" ht="15">
      <c r="A79" s="55"/>
      <c r="B79" s="55" t="s">
        <v>50</v>
      </c>
      <c r="C79" s="55" t="s">
        <v>51</v>
      </c>
      <c r="E79" s="55"/>
      <c r="F79" s="55" t="s">
        <v>50</v>
      </c>
      <c r="G79" s="55" t="s">
        <v>51</v>
      </c>
    </row>
    <row r="80" spans="1:7" ht="15">
      <c r="A80" s="52" t="s">
        <v>52</v>
      </c>
      <c r="B80" s="53">
        <v>0.01200943988084268</v>
      </c>
      <c r="C80" s="53">
        <v>0.025353749645333937</v>
      </c>
      <c r="E80" s="52" t="s">
        <v>52</v>
      </c>
      <c r="F80" s="53">
        <v>0.01200943988084268</v>
      </c>
      <c r="G80" s="53">
        <v>0.025353749645333937</v>
      </c>
    </row>
    <row r="81" spans="1:7" ht="15">
      <c r="A81" s="52" t="s">
        <v>53</v>
      </c>
      <c r="B81" s="53">
        <v>0.0030768606009060244</v>
      </c>
      <c r="C81" s="53">
        <v>0.002710879875881994</v>
      </c>
      <c r="E81" s="52" t="s">
        <v>53</v>
      </c>
      <c r="F81" s="53">
        <v>0.0030768606009060244</v>
      </c>
      <c r="G81" s="53">
        <v>0.002710879875881994</v>
      </c>
    </row>
    <row r="82" spans="1:7" ht="15">
      <c r="A82" s="52" t="s">
        <v>54</v>
      </c>
      <c r="B82" s="53">
        <v>24</v>
      </c>
      <c r="C82" s="53">
        <v>24</v>
      </c>
      <c r="E82" s="52" t="s">
        <v>54</v>
      </c>
      <c r="F82" s="53">
        <v>24</v>
      </c>
      <c r="G82" s="53">
        <v>24</v>
      </c>
    </row>
    <row r="83" spans="1:7" ht="15">
      <c r="A83" s="52" t="s">
        <v>55</v>
      </c>
      <c r="B83" s="53">
        <v>0.002893870238394009</v>
      </c>
      <c r="C83" s="53"/>
      <c r="E83" s="52" t="s">
        <v>56</v>
      </c>
      <c r="F83" s="53">
        <v>0</v>
      </c>
      <c r="G83" s="53"/>
    </row>
    <row r="84" spans="1:7" ht="15">
      <c r="A84" s="52" t="s">
        <v>56</v>
      </c>
      <c r="B84" s="53">
        <v>0</v>
      </c>
      <c r="C84" s="53"/>
      <c r="E84" s="52" t="s">
        <v>57</v>
      </c>
      <c r="F84" s="53">
        <v>46</v>
      </c>
      <c r="G84" s="53"/>
    </row>
    <row r="85" spans="1:7" ht="15">
      <c r="A85" s="52" t="s">
        <v>57</v>
      </c>
      <c r="B85" s="53">
        <v>46</v>
      </c>
      <c r="C85" s="53"/>
      <c r="E85" s="53" t="s">
        <v>58</v>
      </c>
      <c r="F85" s="53">
        <v>-0.859304747346271</v>
      </c>
      <c r="G85" s="53"/>
    </row>
    <row r="86" spans="1:7" ht="15">
      <c r="A86" s="53" t="s">
        <v>58</v>
      </c>
      <c r="B86" s="53">
        <v>-0.859304747346271</v>
      </c>
      <c r="C86" s="53"/>
      <c r="E86" s="53" t="s">
        <v>59</v>
      </c>
      <c r="F86" s="53">
        <v>0.19731424844938517</v>
      </c>
      <c r="G86" s="53"/>
    </row>
    <row r="87" spans="1:7" ht="15">
      <c r="A87" s="53" t="s">
        <v>59</v>
      </c>
      <c r="B87" s="53">
        <v>0.19731424844938517</v>
      </c>
      <c r="C87" s="53"/>
      <c r="E87" s="53" t="s">
        <v>60</v>
      </c>
      <c r="F87" s="53">
        <v>1.6786589185358025</v>
      </c>
      <c r="G87" s="53"/>
    </row>
    <row r="88" spans="1:7" ht="15">
      <c r="A88" s="53" t="s">
        <v>60</v>
      </c>
      <c r="B88" s="53">
        <v>1.6786589185358025</v>
      </c>
      <c r="C88" s="53"/>
      <c r="E88" s="53" t="s">
        <v>61</v>
      </c>
      <c r="F88" s="53">
        <v>0.39462849689877033</v>
      </c>
      <c r="G88" s="53"/>
    </row>
    <row r="89" spans="1:7" ht="15.75" thickBot="1">
      <c r="A89" s="53" t="s">
        <v>61</v>
      </c>
      <c r="B89" s="53">
        <v>0.39462849689877033</v>
      </c>
      <c r="C89" s="53"/>
      <c r="E89" s="54" t="s">
        <v>62</v>
      </c>
      <c r="F89" s="54">
        <v>2.0128936739638448</v>
      </c>
      <c r="G89" s="54"/>
    </row>
    <row r="90" spans="1:3" ht="15.75" thickBot="1">
      <c r="A90" s="54" t="s">
        <v>62</v>
      </c>
      <c r="B90" s="54">
        <v>2.0128936739638448</v>
      </c>
      <c r="C90" s="54"/>
    </row>
    <row r="92" ht="13.5">
      <c r="A92" s="56" t="s">
        <v>65</v>
      </c>
    </row>
    <row r="93" spans="1:7" ht="15">
      <c r="A93" t="s">
        <v>49</v>
      </c>
      <c r="B93"/>
      <c r="C93"/>
      <c r="E93" t="s">
        <v>63</v>
      </c>
      <c r="F93"/>
      <c r="G93"/>
    </row>
    <row r="94" spans="1:7" ht="15.75" thickBot="1">
      <c r="A94"/>
      <c r="B94"/>
      <c r="C94"/>
      <c r="E94"/>
      <c r="F94"/>
      <c r="G94"/>
    </row>
    <row r="95" spans="1:7" ht="15">
      <c r="A95" s="55"/>
      <c r="B95" s="55" t="s">
        <v>50</v>
      </c>
      <c r="C95" s="55" t="s">
        <v>51</v>
      </c>
      <c r="E95" s="55"/>
      <c r="F95" s="55" t="s">
        <v>50</v>
      </c>
      <c r="G95" s="55" t="s">
        <v>51</v>
      </c>
    </row>
    <row r="96" spans="1:7" ht="15">
      <c r="A96" s="52" t="s">
        <v>52</v>
      </c>
      <c r="B96" s="53">
        <v>0.025353749645333937</v>
      </c>
      <c r="C96" s="53">
        <v>0.02874096440672751</v>
      </c>
      <c r="E96" s="52" t="s">
        <v>52</v>
      </c>
      <c r="F96" s="53">
        <v>0.025353749645333937</v>
      </c>
      <c r="G96" s="53">
        <v>0.02874096440672751</v>
      </c>
    </row>
    <row r="97" spans="1:7" ht="15">
      <c r="A97" s="52" t="s">
        <v>53</v>
      </c>
      <c r="B97" s="53">
        <v>0.002710879875881994</v>
      </c>
      <c r="C97" s="53">
        <v>0.003078836874620316</v>
      </c>
      <c r="E97" s="52" t="s">
        <v>53</v>
      </c>
      <c r="F97" s="53">
        <v>0.002710879875881994</v>
      </c>
      <c r="G97" s="53">
        <v>0.003078836874620316</v>
      </c>
    </row>
    <row r="98" spans="1:7" ht="15">
      <c r="A98" s="52" t="s">
        <v>54</v>
      </c>
      <c r="B98" s="53">
        <v>24</v>
      </c>
      <c r="C98" s="53">
        <v>24</v>
      </c>
      <c r="E98" s="52" t="s">
        <v>54</v>
      </c>
      <c r="F98" s="53">
        <v>24</v>
      </c>
      <c r="G98" s="53">
        <v>24</v>
      </c>
    </row>
    <row r="99" spans="1:7" ht="15">
      <c r="A99" s="52" t="s">
        <v>55</v>
      </c>
      <c r="B99" s="53">
        <v>0.0028948583752511554</v>
      </c>
      <c r="C99" s="53"/>
      <c r="E99" s="52" t="s">
        <v>56</v>
      </c>
      <c r="F99" s="53">
        <v>0</v>
      </c>
      <c r="G99" s="53"/>
    </row>
    <row r="100" spans="1:7" ht="15">
      <c r="A100" s="52" t="s">
        <v>56</v>
      </c>
      <c r="B100" s="53">
        <v>0</v>
      </c>
      <c r="C100" s="53"/>
      <c r="E100" s="52" t="s">
        <v>57</v>
      </c>
      <c r="F100" s="53">
        <v>46</v>
      </c>
      <c r="G100" s="53"/>
    </row>
    <row r="101" spans="1:7" ht="15">
      <c r="A101" s="52" t="s">
        <v>57</v>
      </c>
      <c r="B101" s="53">
        <v>46</v>
      </c>
      <c r="C101" s="53"/>
      <c r="E101" s="53" t="s">
        <v>58</v>
      </c>
      <c r="F101" s="53">
        <v>-0.2180819368070719</v>
      </c>
      <c r="G101" s="53"/>
    </row>
    <row r="102" spans="1:7" ht="15">
      <c r="A102" s="53" t="s">
        <v>58</v>
      </c>
      <c r="B102" s="53">
        <v>-0.21808193680707189</v>
      </c>
      <c r="C102" s="53"/>
      <c r="E102" s="53" t="s">
        <v>59</v>
      </c>
      <c r="F102" s="53">
        <v>0.41416492645513253</v>
      </c>
      <c r="G102" s="53"/>
    </row>
    <row r="103" spans="1:7" ht="15">
      <c r="A103" s="53" t="s">
        <v>59</v>
      </c>
      <c r="B103" s="53">
        <v>0.41416492645513253</v>
      </c>
      <c r="C103" s="53"/>
      <c r="E103" s="53" t="s">
        <v>60</v>
      </c>
      <c r="F103" s="53">
        <v>1.6786589185358025</v>
      </c>
      <c r="G103" s="53"/>
    </row>
    <row r="104" spans="1:7" ht="15">
      <c r="A104" s="53" t="s">
        <v>60</v>
      </c>
      <c r="B104" s="53">
        <v>1.6786589185358025</v>
      </c>
      <c r="C104" s="53"/>
      <c r="E104" s="53" t="s">
        <v>61</v>
      </c>
      <c r="F104" s="53">
        <v>0.8283298529102651</v>
      </c>
      <c r="G104" s="53"/>
    </row>
    <row r="105" spans="1:7" ht="15.75" thickBot="1">
      <c r="A105" s="53" t="s">
        <v>61</v>
      </c>
      <c r="B105" s="53">
        <v>0.8283298529102651</v>
      </c>
      <c r="C105" s="53"/>
      <c r="E105" s="54" t="s">
        <v>62</v>
      </c>
      <c r="F105" s="54">
        <v>2.0128936739638448</v>
      </c>
      <c r="G105" s="54"/>
    </row>
    <row r="106" spans="1:3" ht="15.75" thickBot="1">
      <c r="A106" s="54" t="s">
        <v>62</v>
      </c>
      <c r="B106" s="54">
        <v>2.0128936739638448</v>
      </c>
      <c r="C106" s="54"/>
    </row>
  </sheetData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Equation.3" shapeId="15008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7" sqref="D7"/>
    </sheetView>
  </sheetViews>
  <sheetFormatPr defaultColWidth="8.88671875" defaultRowHeight="15"/>
  <cols>
    <col min="1" max="16384" width="7.99609375" style="66" customWidth="1"/>
  </cols>
  <sheetData>
    <row r="1" ht="13.5">
      <c r="A1" s="65" t="s">
        <v>69</v>
      </c>
    </row>
    <row r="3" spans="1:7" ht="13.5">
      <c r="A3" s="170"/>
      <c r="B3" s="171" t="s">
        <v>70</v>
      </c>
      <c r="C3" s="171"/>
      <c r="D3" s="171" t="s">
        <v>75</v>
      </c>
      <c r="F3" s="68"/>
      <c r="G3" s="78" t="s">
        <v>75</v>
      </c>
    </row>
    <row r="4" spans="1:7" ht="13.5">
      <c r="A4" s="170"/>
      <c r="B4" s="67" t="s">
        <v>67</v>
      </c>
      <c r="C4" s="67" t="s">
        <v>66</v>
      </c>
      <c r="D4" s="171"/>
      <c r="F4" s="70"/>
      <c r="G4" s="80" t="s">
        <v>77</v>
      </c>
    </row>
    <row r="5" spans="1:7" ht="15">
      <c r="A5" s="76" t="s">
        <v>68</v>
      </c>
      <c r="B5" s="70">
        <v>600</v>
      </c>
      <c r="C5" s="70">
        <v>600</v>
      </c>
      <c r="D5" s="70">
        <v>1768</v>
      </c>
      <c r="F5" s="84" t="s">
        <v>68</v>
      </c>
      <c r="G5" s="77">
        <v>1768</v>
      </c>
    </row>
    <row r="6" spans="1:7" ht="18.75" customHeight="1">
      <c r="A6" s="76"/>
      <c r="B6" s="70">
        <v>0.527</v>
      </c>
      <c r="C6" s="70">
        <v>0.306</v>
      </c>
      <c r="D6" s="71">
        <v>0.7</v>
      </c>
      <c r="F6" s="82"/>
      <c r="G6" s="70">
        <v>0.7</v>
      </c>
    </row>
    <row r="7" spans="1:7" ht="16.5">
      <c r="A7" s="76" t="s">
        <v>72</v>
      </c>
      <c r="B7" s="70">
        <v>0.5</v>
      </c>
      <c r="C7" s="70">
        <v>0.3</v>
      </c>
      <c r="D7" s="71">
        <f>2/3</f>
        <v>0.6666666666666666</v>
      </c>
      <c r="F7" s="81" t="s">
        <v>76</v>
      </c>
      <c r="G7" s="70">
        <v>1025</v>
      </c>
    </row>
    <row r="8" spans="1:7" ht="19.5" customHeight="1">
      <c r="A8" s="76" t="s">
        <v>73</v>
      </c>
      <c r="B8" s="70">
        <f>1-B7</f>
        <v>0.5</v>
      </c>
      <c r="C8" s="70">
        <f>1-C7</f>
        <v>0.7</v>
      </c>
      <c r="D8" s="71">
        <f>1-D7</f>
        <v>0.33333333333333337</v>
      </c>
      <c r="F8" s="82"/>
      <c r="G8" s="70">
        <v>0.578</v>
      </c>
    </row>
    <row r="9" spans="1:7" ht="13.5">
      <c r="A9" s="74" t="s">
        <v>71</v>
      </c>
      <c r="B9" s="70">
        <v>0.05</v>
      </c>
      <c r="C9" s="70">
        <v>0.05</v>
      </c>
      <c r="D9" s="70">
        <v>0.05</v>
      </c>
      <c r="F9" s="83" t="s">
        <v>71</v>
      </c>
      <c r="G9" s="70">
        <v>0.05</v>
      </c>
    </row>
    <row r="10" spans="1:7" ht="18.75" customHeight="1">
      <c r="A10" s="69"/>
      <c r="B10" s="71">
        <f>NORMSINV(1-B9)</f>
        <v>1.644853475669982</v>
      </c>
      <c r="C10" s="71">
        <f>NORMSINV(1-C9)</f>
        <v>1.644853475669982</v>
      </c>
      <c r="D10" s="71">
        <f>NORMSINV(1-D9)</f>
        <v>1.644853475669982</v>
      </c>
      <c r="F10" s="79"/>
      <c r="G10" s="71">
        <f>NORMSINV(1-G9)</f>
        <v>1.644853475669982</v>
      </c>
    </row>
    <row r="11" spans="1:7" ht="17.25" customHeight="1">
      <c r="A11" s="73"/>
      <c r="B11" s="71">
        <f>(B6-B7)/SQRT(B7*B8/B5)</f>
        <v>1.3227244611029172</v>
      </c>
      <c r="C11" s="71">
        <f>(C6-C7)/SQRT(C7*C8/C5)</f>
        <v>0.32071349029490953</v>
      </c>
      <c r="D11" s="71">
        <f>(D6-D7)/SQRT(D7*D8/D5)</f>
        <v>2.9732137494637003</v>
      </c>
      <c r="F11" s="82"/>
      <c r="G11" s="71">
        <f>(G6-G8)/SQRT(G6*(1-G6)/G5+G8*(1-G8)/G7)</f>
        <v>6.459230999639392</v>
      </c>
    </row>
    <row r="12" spans="1:7" ht="13.5">
      <c r="A12" s="75" t="s">
        <v>74</v>
      </c>
      <c r="B12" s="72">
        <f>1-NORMSDIST(B11)</f>
        <v>0.09296357620542672</v>
      </c>
      <c r="C12" s="72">
        <f>1-NORMSDIST(C11)</f>
        <v>0.37421382666021763</v>
      </c>
      <c r="D12" s="72">
        <f>1-NORMSDIST(D11)</f>
        <v>0.0014735646652084267</v>
      </c>
      <c r="F12" s="75" t="s">
        <v>74</v>
      </c>
      <c r="G12" s="72">
        <f>1-NORMSDIST(G11)</f>
        <v>5.287126292330413E-11</v>
      </c>
    </row>
    <row r="15" spans="1:2" ht="15">
      <c r="A15"/>
      <c r="B15"/>
    </row>
  </sheetData>
  <mergeCells count="3">
    <mergeCell ref="A3:A4"/>
    <mergeCell ref="D3:D4"/>
    <mergeCell ref="B3:C3"/>
  </mergeCells>
  <printOptions/>
  <pageMargins left="0.75" right="0.75" top="1" bottom="1" header="0.512" footer="0.512"/>
  <pageSetup orientation="portrait" paperSize="9"/>
  <legacyDrawing r:id="rId10"/>
  <oleObjects>
    <oleObject progId="Equation.3" shapeId="263945" r:id="rId1"/>
    <oleObject progId="Equation.3" shapeId="272985" r:id="rId2"/>
    <oleObject progId="Equation.3" shapeId="276034" r:id="rId3"/>
    <oleObject progId="Equation.3" shapeId="283549" r:id="rId4"/>
    <oleObject progId="Equation.3" shapeId="317916" r:id="rId5"/>
    <oleObject progId="Equation.3" shapeId="326749" r:id="rId6"/>
    <oleObject progId="Equation.3" shapeId="327378" r:id="rId7"/>
    <oleObject progId="Equation.3" shapeId="328784" r:id="rId8"/>
    <oleObject progId="Equation.3" shapeId="355370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workbookViewId="0" topLeftCell="A40">
      <selection activeCell="J54" sqref="J54"/>
    </sheetView>
  </sheetViews>
  <sheetFormatPr defaultColWidth="8.88671875" defaultRowHeight="15"/>
  <cols>
    <col min="1" max="1" width="7.88671875" style="99" customWidth="1"/>
    <col min="2" max="3" width="6.77734375" style="99" customWidth="1"/>
    <col min="4" max="4" width="8.6640625" style="99" customWidth="1"/>
    <col min="5" max="6" width="6.77734375" style="99" customWidth="1"/>
    <col min="7" max="10" width="8.10546875" style="99" customWidth="1"/>
    <col min="11" max="11" width="6.77734375" style="99" customWidth="1"/>
    <col min="12" max="16384" width="7.99609375" style="99" customWidth="1"/>
  </cols>
  <sheetData>
    <row r="1" ht="13.5">
      <c r="A1" s="27" t="s">
        <v>94</v>
      </c>
    </row>
    <row r="2" ht="13.5">
      <c r="A2" s="27"/>
    </row>
    <row r="3" ht="13.5">
      <c r="A3" s="99" t="s">
        <v>151</v>
      </c>
    </row>
    <row r="4" spans="1:4" ht="13.5">
      <c r="A4" s="85" t="s">
        <v>92</v>
      </c>
      <c r="B4" s="87" t="s">
        <v>91</v>
      </c>
      <c r="C4" s="85" t="s">
        <v>93</v>
      </c>
      <c r="D4" s="86" t="s">
        <v>91</v>
      </c>
    </row>
    <row r="5" spans="1:4" ht="13.5">
      <c r="A5" s="88" t="s">
        <v>79</v>
      </c>
      <c r="B5" s="89">
        <v>10.1</v>
      </c>
      <c r="C5" s="88" t="s">
        <v>86</v>
      </c>
      <c r="D5" s="90">
        <v>13.4</v>
      </c>
    </row>
    <row r="6" spans="1:4" ht="13.5">
      <c r="A6" s="91" t="s">
        <v>81</v>
      </c>
      <c r="B6" s="92">
        <v>10</v>
      </c>
      <c r="C6" s="91" t="s">
        <v>87</v>
      </c>
      <c r="D6" s="93">
        <v>13.8</v>
      </c>
    </row>
    <row r="7" spans="1:4" ht="13.5">
      <c r="A7" s="91" t="s">
        <v>82</v>
      </c>
      <c r="B7" s="92">
        <v>12.2</v>
      </c>
      <c r="C7" s="91" t="s">
        <v>88</v>
      </c>
      <c r="D7" s="93">
        <v>14.5</v>
      </c>
    </row>
    <row r="8" spans="1:4" ht="13.5">
      <c r="A8" s="91" t="s">
        <v>83</v>
      </c>
      <c r="B8" s="92">
        <v>11.7</v>
      </c>
      <c r="C8" s="91" t="s">
        <v>89</v>
      </c>
      <c r="D8" s="93">
        <v>15</v>
      </c>
    </row>
    <row r="9" spans="1:4" ht="13.5">
      <c r="A9" s="91" t="s">
        <v>84</v>
      </c>
      <c r="B9" s="92">
        <v>11.6</v>
      </c>
      <c r="C9" s="91" t="s">
        <v>90</v>
      </c>
      <c r="D9" s="93">
        <v>15.8</v>
      </c>
    </row>
    <row r="10" spans="1:4" ht="13.5">
      <c r="A10" s="91" t="s">
        <v>85</v>
      </c>
      <c r="B10" s="92">
        <v>12.9</v>
      </c>
      <c r="C10" s="91" t="s">
        <v>78</v>
      </c>
      <c r="D10" s="93">
        <v>16.2</v>
      </c>
    </row>
    <row r="11" spans="1:4" ht="13.5">
      <c r="A11" s="94"/>
      <c r="B11" s="95"/>
      <c r="C11" s="94" t="s">
        <v>80</v>
      </c>
      <c r="D11" s="96">
        <v>15.8</v>
      </c>
    </row>
    <row r="12" spans="1:2" ht="13.5">
      <c r="A12" s="97"/>
      <c r="B12" s="98"/>
    </row>
    <row r="13" spans="1:7" ht="13.5">
      <c r="A13" s="100" t="s">
        <v>49</v>
      </c>
      <c r="B13" s="100"/>
      <c r="C13" s="100"/>
      <c r="E13" s="100" t="s">
        <v>63</v>
      </c>
      <c r="F13" s="100"/>
      <c r="G13" s="100"/>
    </row>
    <row r="14" spans="1:7" ht="14.25" thickBot="1">
      <c r="A14" s="100"/>
      <c r="B14" s="100"/>
      <c r="C14" s="100"/>
      <c r="E14" s="100"/>
      <c r="F14" s="100"/>
      <c r="G14" s="100"/>
    </row>
    <row r="15" spans="1:7" ht="13.5">
      <c r="A15" s="101"/>
      <c r="B15" s="101" t="s">
        <v>50</v>
      </c>
      <c r="C15" s="101" t="s">
        <v>51</v>
      </c>
      <c r="E15" s="101"/>
      <c r="F15" s="101" t="s">
        <v>50</v>
      </c>
      <c r="G15" s="101" t="s">
        <v>51</v>
      </c>
    </row>
    <row r="16" spans="1:7" ht="13.5">
      <c r="A16" s="102" t="s">
        <v>52</v>
      </c>
      <c r="B16" s="102">
        <v>11.416666666666666</v>
      </c>
      <c r="C16" s="102">
        <v>14.928571428571429</v>
      </c>
      <c r="E16" s="102" t="s">
        <v>52</v>
      </c>
      <c r="F16" s="102">
        <v>11.416666666666666</v>
      </c>
      <c r="G16" s="102">
        <v>14.928571428571429</v>
      </c>
    </row>
    <row r="17" spans="1:7" ht="13.5">
      <c r="A17" s="102" t="s">
        <v>53</v>
      </c>
      <c r="B17" s="102">
        <v>1.3336666666666588</v>
      </c>
      <c r="C17" s="102">
        <v>1.155714285714339</v>
      </c>
      <c r="E17" s="102" t="s">
        <v>53</v>
      </c>
      <c r="F17" s="102">
        <v>1.3336666666666588</v>
      </c>
      <c r="G17" s="102">
        <v>1.155714285714339</v>
      </c>
    </row>
    <row r="18" spans="1:7" ht="13.5">
      <c r="A18" s="102" t="s">
        <v>54</v>
      </c>
      <c r="B18" s="102">
        <v>6</v>
      </c>
      <c r="C18" s="102">
        <v>7</v>
      </c>
      <c r="E18" s="102" t="s">
        <v>54</v>
      </c>
      <c r="F18" s="102">
        <v>6</v>
      </c>
      <c r="G18" s="102">
        <v>7</v>
      </c>
    </row>
    <row r="19" spans="1:7" ht="13.5">
      <c r="A19" s="102" t="s">
        <v>55</v>
      </c>
      <c r="B19" s="102">
        <v>1.236601731601757</v>
      </c>
      <c r="C19" s="102"/>
      <c r="E19" s="102" t="s">
        <v>56</v>
      </c>
      <c r="F19" s="102">
        <v>0</v>
      </c>
      <c r="G19" s="102"/>
    </row>
    <row r="20" spans="1:7" ht="13.5">
      <c r="A20" s="102" t="s">
        <v>56</v>
      </c>
      <c r="B20" s="102">
        <v>0</v>
      </c>
      <c r="C20" s="102"/>
      <c r="E20" s="102" t="s">
        <v>57</v>
      </c>
      <c r="F20" s="102">
        <v>10</v>
      </c>
      <c r="G20" s="102"/>
    </row>
    <row r="21" spans="1:7" ht="13.5">
      <c r="A21" s="102" t="s">
        <v>57</v>
      </c>
      <c r="B21" s="102">
        <v>11</v>
      </c>
      <c r="C21" s="102"/>
      <c r="E21" s="102" t="s">
        <v>58</v>
      </c>
      <c r="F21" s="102">
        <v>-5.642534643451929</v>
      </c>
      <c r="G21" s="102"/>
    </row>
    <row r="22" spans="1:7" ht="13.5">
      <c r="A22" s="102" t="s">
        <v>58</v>
      </c>
      <c r="B22" s="102">
        <v>-5.676501720365903</v>
      </c>
      <c r="C22" s="102"/>
      <c r="E22" s="102" t="s">
        <v>95</v>
      </c>
      <c r="F22" s="102">
        <v>0.00010732862777855039</v>
      </c>
      <c r="G22" s="102"/>
    </row>
    <row r="23" spans="1:7" ht="13.5">
      <c r="A23" s="102" t="s">
        <v>95</v>
      </c>
      <c r="B23" s="102">
        <v>7.153993910661267E-05</v>
      </c>
      <c r="C23" s="102"/>
      <c r="E23" s="102" t="s">
        <v>96</v>
      </c>
      <c r="F23" s="102">
        <v>1.8124615053238813</v>
      </c>
      <c r="G23" s="102"/>
    </row>
    <row r="24" spans="1:7" ht="13.5">
      <c r="A24" s="102" t="s">
        <v>96</v>
      </c>
      <c r="B24" s="102">
        <v>1.7958836906473152</v>
      </c>
      <c r="C24" s="102"/>
      <c r="E24" s="102" t="s">
        <v>97</v>
      </c>
      <c r="F24" s="102">
        <v>0.00021465725555710078</v>
      </c>
      <c r="G24" s="102"/>
    </row>
    <row r="25" spans="1:7" ht="14.25" thickBot="1">
      <c r="A25" s="102" t="s">
        <v>97</v>
      </c>
      <c r="B25" s="102">
        <v>0.00014307987821322534</v>
      </c>
      <c r="C25" s="102"/>
      <c r="E25" s="103" t="s">
        <v>98</v>
      </c>
      <c r="F25" s="103">
        <v>2.228139237558935</v>
      </c>
      <c r="G25" s="103"/>
    </row>
    <row r="26" spans="1:3" ht="14.25" thickBot="1">
      <c r="A26" s="103" t="s">
        <v>98</v>
      </c>
      <c r="B26" s="103">
        <v>2.200986273237504</v>
      </c>
      <c r="C26" s="103"/>
    </row>
    <row r="27" spans="1:3" ht="13.5">
      <c r="A27" s="102"/>
      <c r="B27" s="102"/>
      <c r="C27" s="102"/>
    </row>
    <row r="28" spans="1:3" ht="13.5">
      <c r="A28" s="102" t="s">
        <v>152</v>
      </c>
      <c r="B28" s="102"/>
      <c r="C28" s="102"/>
    </row>
    <row r="29" spans="1:5" ht="27" customHeight="1">
      <c r="A29" s="85" t="s">
        <v>133</v>
      </c>
      <c r="B29" s="86" t="s">
        <v>134</v>
      </c>
      <c r="C29" s="86" t="s">
        <v>91</v>
      </c>
      <c r="D29" s="86" t="s">
        <v>138</v>
      </c>
      <c r="E29" s="86" t="s">
        <v>140</v>
      </c>
    </row>
    <row r="30" spans="1:10" ht="15">
      <c r="A30" s="88" t="s">
        <v>99</v>
      </c>
      <c r="B30" s="104">
        <v>302</v>
      </c>
      <c r="C30" s="90">
        <v>8.9</v>
      </c>
      <c r="D30" s="123">
        <f>IF(B30&gt;=B$77,1,0)</f>
        <v>1</v>
      </c>
      <c r="E30" s="123">
        <f>IF(C30&gt;=C$77,1,0)</f>
        <v>0</v>
      </c>
      <c r="G30" s="107" t="s">
        <v>141</v>
      </c>
      <c r="H30" s="107" t="s">
        <v>139</v>
      </c>
      <c r="I30" s="108"/>
      <c r="J30" s="109"/>
    </row>
    <row r="31" spans="1:10" ht="15">
      <c r="A31" s="91" t="s">
        <v>79</v>
      </c>
      <c r="B31" s="105">
        <v>79</v>
      </c>
      <c r="C31" s="93">
        <v>10.1</v>
      </c>
      <c r="D31" s="124">
        <f aca="true" t="shared" si="0" ref="D31:D76">IF(B31&gt;=B$77,1,0)</f>
        <v>0</v>
      </c>
      <c r="E31" s="124">
        <f aca="true" t="shared" si="1" ref="E31:E76">IF(C31&gt;=C$77,1,0)</f>
        <v>0</v>
      </c>
      <c r="G31" s="107" t="s">
        <v>137</v>
      </c>
      <c r="H31" s="110">
        <v>0</v>
      </c>
      <c r="I31" s="126">
        <v>1</v>
      </c>
      <c r="J31" s="127" t="s">
        <v>135</v>
      </c>
    </row>
    <row r="32" spans="1:10" ht="15">
      <c r="A32" s="91" t="s">
        <v>81</v>
      </c>
      <c r="B32" s="105">
        <v>114</v>
      </c>
      <c r="C32" s="93">
        <v>10</v>
      </c>
      <c r="D32" s="124">
        <f t="shared" si="0"/>
        <v>0</v>
      </c>
      <c r="E32" s="124">
        <f t="shared" si="1"/>
        <v>0</v>
      </c>
      <c r="G32" s="110">
        <v>0</v>
      </c>
      <c r="H32" s="111">
        <v>12</v>
      </c>
      <c r="I32" s="112">
        <v>11</v>
      </c>
      <c r="J32" s="113">
        <v>23</v>
      </c>
    </row>
    <row r="33" spans="1:10" ht="15">
      <c r="A33" s="91" t="s">
        <v>82</v>
      </c>
      <c r="B33" s="105">
        <v>138</v>
      </c>
      <c r="C33" s="93">
        <v>12.2</v>
      </c>
      <c r="D33" s="124">
        <f t="shared" si="0"/>
        <v>1</v>
      </c>
      <c r="E33" s="124">
        <f t="shared" si="1"/>
        <v>0</v>
      </c>
      <c r="G33" s="114">
        <v>1</v>
      </c>
      <c r="H33" s="115">
        <v>11</v>
      </c>
      <c r="I33" s="116">
        <v>13</v>
      </c>
      <c r="J33" s="117">
        <v>24</v>
      </c>
    </row>
    <row r="34" spans="1:10" ht="15">
      <c r="A34" s="91" t="s">
        <v>83</v>
      </c>
      <c r="B34" s="105">
        <v>75</v>
      </c>
      <c r="C34" s="93">
        <v>11.7</v>
      </c>
      <c r="D34" s="124">
        <f t="shared" si="0"/>
        <v>0</v>
      </c>
      <c r="E34" s="124">
        <f t="shared" si="1"/>
        <v>0</v>
      </c>
      <c r="G34" s="118" t="s">
        <v>135</v>
      </c>
      <c r="H34" s="119">
        <v>23</v>
      </c>
      <c r="I34" s="120">
        <v>24</v>
      </c>
      <c r="J34" s="121">
        <v>47</v>
      </c>
    </row>
    <row r="35" spans="1:5" ht="13.5">
      <c r="A35" s="91" t="s">
        <v>84</v>
      </c>
      <c r="B35" s="105">
        <v>82</v>
      </c>
      <c r="C35" s="93">
        <v>11.6</v>
      </c>
      <c r="D35" s="124">
        <f t="shared" si="0"/>
        <v>0</v>
      </c>
      <c r="E35" s="124">
        <f t="shared" si="1"/>
        <v>0</v>
      </c>
    </row>
    <row r="36" spans="1:7" ht="13.5">
      <c r="A36" s="91" t="s">
        <v>85</v>
      </c>
      <c r="B36" s="105">
        <v>143</v>
      </c>
      <c r="C36" s="93">
        <v>12.9</v>
      </c>
      <c r="D36" s="124">
        <f t="shared" si="0"/>
        <v>1</v>
      </c>
      <c r="E36" s="124">
        <f t="shared" si="1"/>
        <v>0</v>
      </c>
      <c r="G36" s="99" t="s">
        <v>147</v>
      </c>
    </row>
    <row r="37" spans="1:10" ht="13.5">
      <c r="A37" s="91" t="s">
        <v>86</v>
      </c>
      <c r="B37" s="105">
        <v>278</v>
      </c>
      <c r="C37" s="93">
        <v>13.4</v>
      </c>
      <c r="D37" s="124">
        <f t="shared" si="0"/>
        <v>1</v>
      </c>
      <c r="E37" s="124">
        <f t="shared" si="1"/>
        <v>0</v>
      </c>
      <c r="G37" s="129"/>
      <c r="H37" s="128" t="s">
        <v>143</v>
      </c>
      <c r="I37" s="128" t="s">
        <v>144</v>
      </c>
      <c r="J37" s="129" t="s">
        <v>142</v>
      </c>
    </row>
    <row r="38" spans="1:10" ht="13.5">
      <c r="A38" s="91" t="s">
        <v>87</v>
      </c>
      <c r="B38" s="105">
        <v>198</v>
      </c>
      <c r="C38" s="93">
        <v>13.8</v>
      </c>
      <c r="D38" s="124">
        <f t="shared" si="0"/>
        <v>1</v>
      </c>
      <c r="E38" s="124">
        <f t="shared" si="1"/>
        <v>0</v>
      </c>
      <c r="G38" s="128" t="s">
        <v>145</v>
      </c>
      <c r="H38" s="128">
        <v>12</v>
      </c>
      <c r="I38" s="128">
        <v>11</v>
      </c>
      <c r="J38" s="128">
        <v>23</v>
      </c>
    </row>
    <row r="39" spans="1:10" ht="13.5" customHeight="1">
      <c r="A39" s="91" t="s">
        <v>88</v>
      </c>
      <c r="B39" s="105">
        <v>152</v>
      </c>
      <c r="C39" s="93">
        <v>14.5</v>
      </c>
      <c r="D39" s="124">
        <f t="shared" si="0"/>
        <v>1</v>
      </c>
      <c r="E39" s="124">
        <f t="shared" si="1"/>
        <v>0</v>
      </c>
      <c r="G39" s="128" t="s">
        <v>146</v>
      </c>
      <c r="H39" s="128">
        <v>11</v>
      </c>
      <c r="I39" s="128">
        <v>13</v>
      </c>
      <c r="J39" s="128">
        <v>24</v>
      </c>
    </row>
    <row r="40" spans="1:10" ht="13.5">
      <c r="A40" s="91" t="s">
        <v>89</v>
      </c>
      <c r="B40" s="105">
        <v>322</v>
      </c>
      <c r="C40" s="93">
        <v>15</v>
      </c>
      <c r="D40" s="124">
        <f t="shared" si="0"/>
        <v>1</v>
      </c>
      <c r="E40" s="124">
        <f t="shared" si="1"/>
        <v>0</v>
      </c>
      <c r="G40" s="128" t="s">
        <v>142</v>
      </c>
      <c r="H40" s="128">
        <v>23</v>
      </c>
      <c r="I40" s="128">
        <v>24</v>
      </c>
      <c r="J40" s="128">
        <v>47</v>
      </c>
    </row>
    <row r="41" spans="1:5" ht="13.5">
      <c r="A41" s="94" t="s">
        <v>90</v>
      </c>
      <c r="B41" s="106">
        <v>305</v>
      </c>
      <c r="C41" s="96">
        <v>15.8</v>
      </c>
      <c r="D41" s="125">
        <f t="shared" si="0"/>
        <v>1</v>
      </c>
      <c r="E41" s="125">
        <f t="shared" si="1"/>
        <v>1</v>
      </c>
    </row>
    <row r="42" spans="1:7" ht="13.5">
      <c r="A42" s="88" t="s">
        <v>78</v>
      </c>
      <c r="B42" s="104">
        <v>289</v>
      </c>
      <c r="C42" s="90">
        <v>16.2</v>
      </c>
      <c r="D42" s="123">
        <f t="shared" si="0"/>
        <v>1</v>
      </c>
      <c r="E42" s="123">
        <f t="shared" si="1"/>
        <v>1</v>
      </c>
      <c r="G42" s="99" t="s">
        <v>148</v>
      </c>
    </row>
    <row r="43" spans="1:10" ht="13.5">
      <c r="A43" s="91" t="s">
        <v>80</v>
      </c>
      <c r="B43" s="105">
        <v>252</v>
      </c>
      <c r="C43" s="93">
        <v>15.8</v>
      </c>
      <c r="D43" s="124">
        <f t="shared" si="0"/>
        <v>1</v>
      </c>
      <c r="E43" s="124">
        <f t="shared" si="1"/>
        <v>1</v>
      </c>
      <c r="G43" s="129"/>
      <c r="H43" s="128" t="s">
        <v>143</v>
      </c>
      <c r="I43" s="128" t="s">
        <v>144</v>
      </c>
      <c r="J43" s="129" t="s">
        <v>142</v>
      </c>
    </row>
    <row r="44" spans="1:10" ht="13.5">
      <c r="A44" s="91" t="s">
        <v>104</v>
      </c>
      <c r="B44" s="105">
        <v>187</v>
      </c>
      <c r="C44" s="93">
        <v>13.8</v>
      </c>
      <c r="D44" s="124">
        <f t="shared" si="0"/>
        <v>1</v>
      </c>
      <c r="E44" s="124">
        <f t="shared" si="1"/>
        <v>0</v>
      </c>
      <c r="G44" s="128" t="s">
        <v>145</v>
      </c>
      <c r="H44" s="131">
        <f>H$40*$J38/$J$40</f>
        <v>11.25531914893617</v>
      </c>
      <c r="I44" s="131">
        <f>I$40*$J38/$J$40</f>
        <v>11.74468085106383</v>
      </c>
      <c r="J44" s="128">
        <f>J$40*$J38/$J$40</f>
        <v>23</v>
      </c>
    </row>
    <row r="45" spans="1:10" ht="13.5">
      <c r="A45" s="91" t="s">
        <v>107</v>
      </c>
      <c r="B45" s="105">
        <v>79</v>
      </c>
      <c r="C45" s="93">
        <v>14.2</v>
      </c>
      <c r="D45" s="124">
        <f t="shared" si="0"/>
        <v>0</v>
      </c>
      <c r="E45" s="124">
        <f t="shared" si="1"/>
        <v>0</v>
      </c>
      <c r="G45" s="128" t="s">
        <v>146</v>
      </c>
      <c r="H45" s="131">
        <f aca="true" t="shared" si="2" ref="H45:J46">H$40*$J39/$J$40</f>
        <v>11.74468085106383</v>
      </c>
      <c r="I45" s="131">
        <f t="shared" si="2"/>
        <v>12.25531914893617</v>
      </c>
      <c r="J45" s="128">
        <f t="shared" si="2"/>
        <v>24</v>
      </c>
    </row>
    <row r="46" spans="1:10" ht="13.5">
      <c r="A46" s="91" t="s">
        <v>110</v>
      </c>
      <c r="B46" s="105">
        <v>75</v>
      </c>
      <c r="C46" s="93">
        <v>14.8</v>
      </c>
      <c r="D46" s="124">
        <f t="shared" si="0"/>
        <v>0</v>
      </c>
      <c r="E46" s="124">
        <f t="shared" si="1"/>
        <v>0</v>
      </c>
      <c r="G46" s="128" t="s">
        <v>142</v>
      </c>
      <c r="H46" s="128">
        <f t="shared" si="2"/>
        <v>23</v>
      </c>
      <c r="I46" s="128">
        <f t="shared" si="2"/>
        <v>24</v>
      </c>
      <c r="J46" s="128">
        <f t="shared" si="2"/>
        <v>47</v>
      </c>
    </row>
    <row r="47" spans="1:5" ht="13.5">
      <c r="A47" s="91" t="s">
        <v>113</v>
      </c>
      <c r="B47" s="105">
        <v>75</v>
      </c>
      <c r="C47" s="93">
        <v>14.5</v>
      </c>
      <c r="D47" s="124">
        <f t="shared" si="0"/>
        <v>0</v>
      </c>
      <c r="E47" s="124">
        <f t="shared" si="1"/>
        <v>0</v>
      </c>
    </row>
    <row r="48" spans="1:5" ht="13.5">
      <c r="A48" s="91" t="s">
        <v>116</v>
      </c>
      <c r="B48" s="105">
        <v>64</v>
      </c>
      <c r="C48" s="93">
        <v>14.9</v>
      </c>
      <c r="D48" s="124">
        <f t="shared" si="0"/>
        <v>0</v>
      </c>
      <c r="E48" s="124">
        <f t="shared" si="1"/>
        <v>0</v>
      </c>
    </row>
    <row r="49" spans="1:11" ht="15">
      <c r="A49" s="91" t="s">
        <v>119</v>
      </c>
      <c r="B49" s="105">
        <v>152</v>
      </c>
      <c r="C49" s="93">
        <v>11.6</v>
      </c>
      <c r="D49" s="124">
        <f t="shared" si="0"/>
        <v>1</v>
      </c>
      <c r="E49" s="124">
        <f t="shared" si="1"/>
        <v>0</v>
      </c>
      <c r="K49"/>
    </row>
    <row r="50" spans="1:9" ht="13.5">
      <c r="A50" s="91" t="s">
        <v>122</v>
      </c>
      <c r="B50" s="105">
        <v>157</v>
      </c>
      <c r="C50" s="93">
        <v>15.9</v>
      </c>
      <c r="D50" s="124">
        <f t="shared" si="0"/>
        <v>1</v>
      </c>
      <c r="E50" s="124">
        <f t="shared" si="1"/>
        <v>1</v>
      </c>
      <c r="G50" s="129"/>
      <c r="H50" s="128" t="s">
        <v>143</v>
      </c>
      <c r="I50" s="128" t="s">
        <v>144</v>
      </c>
    </row>
    <row r="51" spans="1:9" ht="13.5">
      <c r="A51" s="91" t="s">
        <v>125</v>
      </c>
      <c r="B51" s="105">
        <v>251</v>
      </c>
      <c r="C51" s="93">
        <v>16.5</v>
      </c>
      <c r="D51" s="124">
        <f t="shared" si="0"/>
        <v>1</v>
      </c>
      <c r="E51" s="124">
        <f t="shared" si="1"/>
        <v>1</v>
      </c>
      <c r="G51" s="128" t="s">
        <v>145</v>
      </c>
      <c r="H51" s="130">
        <f>(H44-H38)^2/H44</f>
        <v>0.049269999597795926</v>
      </c>
      <c r="I51" s="130">
        <f>(I44-I38)^2/I44</f>
        <v>0.04721708294788776</v>
      </c>
    </row>
    <row r="52" spans="1:9" ht="13.5">
      <c r="A52" s="91" t="s">
        <v>128</v>
      </c>
      <c r="B52" s="105">
        <v>351</v>
      </c>
      <c r="C52" s="93">
        <v>15.7</v>
      </c>
      <c r="D52" s="124">
        <f t="shared" si="0"/>
        <v>1</v>
      </c>
      <c r="E52" s="124">
        <f t="shared" si="1"/>
        <v>0</v>
      </c>
      <c r="G52" s="128" t="s">
        <v>146</v>
      </c>
      <c r="H52" s="130">
        <f>(H45-H39)^2/H45</f>
        <v>0.04721708294788776</v>
      </c>
      <c r="I52" s="130">
        <f>(I45-I39)^2/I45</f>
        <v>0.04524970449172577</v>
      </c>
    </row>
    <row r="53" spans="1:5" ht="13.5">
      <c r="A53" s="94" t="s">
        <v>131</v>
      </c>
      <c r="B53" s="106">
        <v>163</v>
      </c>
      <c r="C53" s="96">
        <v>16.1</v>
      </c>
      <c r="D53" s="125">
        <f t="shared" si="0"/>
        <v>1</v>
      </c>
      <c r="E53" s="125">
        <f t="shared" si="1"/>
        <v>1</v>
      </c>
    </row>
    <row r="54" spans="1:8" ht="15">
      <c r="A54" s="88" t="s">
        <v>100</v>
      </c>
      <c r="B54" s="104">
        <v>118</v>
      </c>
      <c r="C54" s="90">
        <v>14.8</v>
      </c>
      <c r="D54" s="123">
        <f t="shared" si="0"/>
        <v>1</v>
      </c>
      <c r="E54" s="123">
        <f t="shared" si="1"/>
        <v>0</v>
      </c>
      <c r="G54" s="161" t="s">
        <v>149</v>
      </c>
      <c r="H54" s="130">
        <f>SUM(H51:I52)</f>
        <v>0.18895386998529723</v>
      </c>
    </row>
    <row r="55" spans="1:8" ht="15">
      <c r="A55" s="91" t="s">
        <v>102</v>
      </c>
      <c r="B55" s="105">
        <v>120</v>
      </c>
      <c r="C55" s="93">
        <v>15.9</v>
      </c>
      <c r="D55" s="124">
        <f t="shared" si="0"/>
        <v>1</v>
      </c>
      <c r="E55" s="124">
        <f t="shared" si="1"/>
        <v>1</v>
      </c>
      <c r="G55" s="160"/>
      <c r="H55" s="130">
        <f>CHIINV(0.05,1)</f>
        <v>3.841455338005062</v>
      </c>
    </row>
    <row r="56" spans="1:8" ht="13.5">
      <c r="A56" s="91" t="s">
        <v>105</v>
      </c>
      <c r="B56" s="105">
        <v>268</v>
      </c>
      <c r="C56" s="93">
        <v>17</v>
      </c>
      <c r="D56" s="124">
        <f t="shared" si="0"/>
        <v>1</v>
      </c>
      <c r="E56" s="124">
        <f t="shared" si="1"/>
        <v>1</v>
      </c>
      <c r="G56" s="162" t="s">
        <v>150</v>
      </c>
      <c r="H56" s="128">
        <f>CHIDIST(H54,1)</f>
        <v>0.663788732392721</v>
      </c>
    </row>
    <row r="57" spans="1:5" ht="13.5">
      <c r="A57" s="91" t="s">
        <v>108</v>
      </c>
      <c r="B57" s="105">
        <v>260</v>
      </c>
      <c r="C57" s="93">
        <v>16.8</v>
      </c>
      <c r="D57" s="124">
        <f t="shared" si="0"/>
        <v>1</v>
      </c>
      <c r="E57" s="124">
        <f t="shared" si="1"/>
        <v>1</v>
      </c>
    </row>
    <row r="58" spans="1:5" ht="13.5">
      <c r="A58" s="91" t="s">
        <v>111</v>
      </c>
      <c r="B58" s="105">
        <v>65</v>
      </c>
      <c r="C58" s="93">
        <v>14.9</v>
      </c>
      <c r="D58" s="124">
        <f t="shared" si="0"/>
        <v>0</v>
      </c>
      <c r="E58" s="124">
        <f t="shared" si="1"/>
        <v>0</v>
      </c>
    </row>
    <row r="59" spans="1:5" ht="13.5">
      <c r="A59" s="91" t="s">
        <v>114</v>
      </c>
      <c r="B59" s="105">
        <v>71</v>
      </c>
      <c r="C59" s="93">
        <v>16.6</v>
      </c>
      <c r="D59" s="124">
        <f t="shared" si="0"/>
        <v>0</v>
      </c>
      <c r="E59" s="124">
        <f t="shared" si="1"/>
        <v>1</v>
      </c>
    </row>
    <row r="60" spans="1:5" ht="13.5">
      <c r="A60" s="91" t="s">
        <v>117</v>
      </c>
      <c r="B60" s="105">
        <v>45</v>
      </c>
      <c r="C60" s="93">
        <v>14.9</v>
      </c>
      <c r="D60" s="124">
        <f t="shared" si="0"/>
        <v>0</v>
      </c>
      <c r="E60" s="124">
        <f t="shared" si="1"/>
        <v>0</v>
      </c>
    </row>
    <row r="61" spans="1:5" ht="13.5">
      <c r="A61" s="91" t="s">
        <v>120</v>
      </c>
      <c r="B61" s="105">
        <v>69</v>
      </c>
      <c r="C61" s="93">
        <v>15</v>
      </c>
      <c r="D61" s="124">
        <f t="shared" si="0"/>
        <v>0</v>
      </c>
      <c r="E61" s="124">
        <f t="shared" si="1"/>
        <v>0</v>
      </c>
    </row>
    <row r="62" spans="1:5" ht="13.5">
      <c r="A62" s="91" t="s">
        <v>123</v>
      </c>
      <c r="B62" s="105">
        <v>148</v>
      </c>
      <c r="C62" s="93">
        <v>16.4</v>
      </c>
      <c r="D62" s="124">
        <f t="shared" si="0"/>
        <v>1</v>
      </c>
      <c r="E62" s="124">
        <f t="shared" si="1"/>
        <v>1</v>
      </c>
    </row>
    <row r="63" spans="1:5" ht="13.5">
      <c r="A63" s="91" t="s">
        <v>126</v>
      </c>
      <c r="B63" s="105">
        <v>187</v>
      </c>
      <c r="C63" s="93">
        <v>16.1</v>
      </c>
      <c r="D63" s="124">
        <f t="shared" si="0"/>
        <v>1</v>
      </c>
      <c r="E63" s="124">
        <f t="shared" si="1"/>
        <v>1</v>
      </c>
    </row>
    <row r="64" spans="1:5" ht="13.5">
      <c r="A64" s="91" t="s">
        <v>129</v>
      </c>
      <c r="B64" s="105">
        <v>116</v>
      </c>
      <c r="C64" s="93">
        <v>15.5</v>
      </c>
      <c r="D64" s="124">
        <f t="shared" si="0"/>
        <v>0</v>
      </c>
      <c r="E64" s="124">
        <f t="shared" si="1"/>
        <v>0</v>
      </c>
    </row>
    <row r="65" spans="1:5" ht="13.5">
      <c r="A65" s="94" t="s">
        <v>132</v>
      </c>
      <c r="B65" s="106">
        <v>68</v>
      </c>
      <c r="C65" s="96">
        <v>16.7</v>
      </c>
      <c r="D65" s="125">
        <f t="shared" si="0"/>
        <v>0</v>
      </c>
      <c r="E65" s="125">
        <f t="shared" si="1"/>
        <v>1</v>
      </c>
    </row>
    <row r="66" spans="1:5" ht="13.5">
      <c r="A66" s="88" t="s">
        <v>101</v>
      </c>
      <c r="B66" s="104">
        <v>75</v>
      </c>
      <c r="C66" s="90">
        <v>16.6</v>
      </c>
      <c r="D66" s="123">
        <f t="shared" si="0"/>
        <v>0</v>
      </c>
      <c r="E66" s="123">
        <f t="shared" si="1"/>
        <v>1</v>
      </c>
    </row>
    <row r="67" spans="1:5" ht="13.5">
      <c r="A67" s="91" t="s">
        <v>103</v>
      </c>
      <c r="B67" s="105">
        <v>113</v>
      </c>
      <c r="C67" s="93">
        <v>16.6</v>
      </c>
      <c r="D67" s="124">
        <f t="shared" si="0"/>
        <v>0</v>
      </c>
      <c r="E67" s="124">
        <f t="shared" si="1"/>
        <v>1</v>
      </c>
    </row>
    <row r="68" spans="1:5" ht="13.5">
      <c r="A68" s="91" t="s">
        <v>106</v>
      </c>
      <c r="B68" s="105">
        <v>47</v>
      </c>
      <c r="C68" s="93">
        <v>17</v>
      </c>
      <c r="D68" s="124">
        <f t="shared" si="0"/>
        <v>0</v>
      </c>
      <c r="E68" s="124">
        <f t="shared" si="1"/>
        <v>1</v>
      </c>
    </row>
    <row r="69" spans="1:5" ht="13.5">
      <c r="A69" s="91" t="s">
        <v>109</v>
      </c>
      <c r="B69" s="105">
        <v>249</v>
      </c>
      <c r="C69" s="93">
        <v>17.2</v>
      </c>
      <c r="D69" s="124">
        <f t="shared" si="0"/>
        <v>1</v>
      </c>
      <c r="E69" s="124">
        <f t="shared" si="1"/>
        <v>1</v>
      </c>
    </row>
    <row r="70" spans="1:5" ht="13.5">
      <c r="A70" s="91" t="s">
        <v>112</v>
      </c>
      <c r="B70" s="105">
        <v>63</v>
      </c>
      <c r="C70" s="93">
        <v>16.6</v>
      </c>
      <c r="D70" s="124">
        <f t="shared" si="0"/>
        <v>0</v>
      </c>
      <c r="E70" s="124">
        <f t="shared" si="1"/>
        <v>1</v>
      </c>
    </row>
    <row r="71" spans="1:5" ht="13.5">
      <c r="A71" s="91" t="s">
        <v>115</v>
      </c>
      <c r="B71" s="105">
        <v>57</v>
      </c>
      <c r="C71" s="93">
        <v>17.2</v>
      </c>
      <c r="D71" s="124">
        <f t="shared" si="0"/>
        <v>0</v>
      </c>
      <c r="E71" s="124">
        <f t="shared" si="1"/>
        <v>1</v>
      </c>
    </row>
    <row r="72" spans="1:5" ht="13.5">
      <c r="A72" s="91" t="s">
        <v>118</v>
      </c>
      <c r="B72" s="105">
        <v>119</v>
      </c>
      <c r="C72" s="93">
        <v>17.1</v>
      </c>
      <c r="D72" s="124">
        <f t="shared" si="0"/>
        <v>1</v>
      </c>
      <c r="E72" s="124">
        <f t="shared" si="1"/>
        <v>1</v>
      </c>
    </row>
    <row r="73" spans="1:5" ht="13.5">
      <c r="A73" s="91" t="s">
        <v>121</v>
      </c>
      <c r="B73" s="105">
        <v>86</v>
      </c>
      <c r="C73" s="93">
        <v>16.8</v>
      </c>
      <c r="D73" s="124">
        <f t="shared" si="0"/>
        <v>0</v>
      </c>
      <c r="E73" s="124">
        <f t="shared" si="1"/>
        <v>1</v>
      </c>
    </row>
    <row r="74" spans="1:5" ht="13.5">
      <c r="A74" s="91" t="s">
        <v>124</v>
      </c>
      <c r="B74" s="105">
        <v>78</v>
      </c>
      <c r="C74" s="93">
        <v>17.4</v>
      </c>
      <c r="D74" s="124">
        <f t="shared" si="0"/>
        <v>0</v>
      </c>
      <c r="E74" s="124">
        <f t="shared" si="1"/>
        <v>1</v>
      </c>
    </row>
    <row r="75" spans="1:5" ht="13.5">
      <c r="A75" s="91" t="s">
        <v>127</v>
      </c>
      <c r="B75" s="105">
        <v>103</v>
      </c>
      <c r="C75" s="93">
        <v>18.5</v>
      </c>
      <c r="D75" s="124">
        <f t="shared" si="0"/>
        <v>0</v>
      </c>
      <c r="E75" s="124">
        <f t="shared" si="1"/>
        <v>1</v>
      </c>
    </row>
    <row r="76" spans="1:5" ht="13.5">
      <c r="A76" s="94" t="s">
        <v>130</v>
      </c>
      <c r="B76" s="106">
        <v>63</v>
      </c>
      <c r="C76" s="96">
        <v>23.1</v>
      </c>
      <c r="D76" s="125">
        <f t="shared" si="0"/>
        <v>0</v>
      </c>
      <c r="E76" s="125">
        <f t="shared" si="1"/>
        <v>1</v>
      </c>
    </row>
    <row r="77" spans="1:5" ht="13.5">
      <c r="A77" s="99" t="s">
        <v>136</v>
      </c>
      <c r="B77" s="122">
        <f>MEDIAN(B30:B76)</f>
        <v>118</v>
      </c>
      <c r="C77" s="122">
        <f>MEDIAN(C30:C76)</f>
        <v>15.8</v>
      </c>
      <c r="D77" s="99">
        <f>SUM(D30:D76)</f>
        <v>24</v>
      </c>
      <c r="E77" s="99">
        <f>SUM(E30:E76)</f>
        <v>24</v>
      </c>
    </row>
  </sheetData>
  <printOptions/>
  <pageMargins left="0.75" right="0.75" top="1" bottom="1" header="0.512" footer="0.512"/>
  <pageSetup fitToHeight="1" fitToWidth="1" orientation="portrait" paperSize="9" scale="94" r:id="rId4"/>
  <legacyDrawing r:id="rId3"/>
  <oleObjects>
    <oleObject progId="Equation.3" shapeId="936401" r:id="rId1"/>
    <oleObject progId="Equation.3" shapeId="94728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0">
      <selection activeCell="K27" sqref="K27"/>
    </sheetView>
  </sheetViews>
  <sheetFormatPr defaultColWidth="8.88671875" defaultRowHeight="15"/>
  <cols>
    <col min="1" max="1" width="8.6640625" style="147" customWidth="1"/>
    <col min="2" max="4" width="7.99609375" style="147" customWidth="1"/>
    <col min="5" max="5" width="8.88671875" style="147" customWidth="1"/>
    <col min="6" max="6" width="2.88671875" style="147" customWidth="1"/>
    <col min="7" max="16384" width="7.99609375" style="147" customWidth="1"/>
  </cols>
  <sheetData>
    <row r="1" ht="13.5">
      <c r="A1" s="27" t="s">
        <v>155</v>
      </c>
    </row>
    <row r="3" ht="13.5">
      <c r="A3" s="147" t="s">
        <v>170</v>
      </c>
    </row>
    <row r="4" spans="1:11" ht="32.25" customHeight="1">
      <c r="A4" s="148" t="s">
        <v>171</v>
      </c>
      <c r="B4" s="149" t="s">
        <v>172</v>
      </c>
      <c r="C4" s="149" t="s">
        <v>173</v>
      </c>
      <c r="D4" s="150" t="s">
        <v>166</v>
      </c>
      <c r="E4" s="157" t="s">
        <v>142</v>
      </c>
      <c r="F4" s="151"/>
      <c r="G4" s="149" t="s">
        <v>174</v>
      </c>
      <c r="H4" s="149" t="s">
        <v>175</v>
      </c>
      <c r="I4" s="149" t="s">
        <v>176</v>
      </c>
      <c r="J4" s="150" t="s">
        <v>166</v>
      </c>
      <c r="K4" s="157" t="s">
        <v>142</v>
      </c>
    </row>
    <row r="5" spans="1:11" ht="13.5">
      <c r="A5" s="149" t="s">
        <v>177</v>
      </c>
      <c r="B5" s="152">
        <v>880</v>
      </c>
      <c r="C5" s="152">
        <v>486</v>
      </c>
      <c r="D5" s="148">
        <v>12</v>
      </c>
      <c r="E5" s="156">
        <f>SUM(B5:D5)</f>
        <v>1378</v>
      </c>
      <c r="G5" s="149" t="s">
        <v>167</v>
      </c>
      <c r="H5" s="152">
        <v>1680</v>
      </c>
      <c r="I5" s="152">
        <v>1133</v>
      </c>
      <c r="J5" s="152">
        <v>26</v>
      </c>
      <c r="K5" s="156">
        <f>SUM(H5:J5)</f>
        <v>2839</v>
      </c>
    </row>
    <row r="6" spans="1:11" ht="13.5">
      <c r="A6" s="149" t="s">
        <v>178</v>
      </c>
      <c r="B6" s="152">
        <v>2502</v>
      </c>
      <c r="C6" s="152">
        <v>1452</v>
      </c>
      <c r="D6" s="148">
        <v>44</v>
      </c>
      <c r="E6" s="156">
        <f>SUM(B6:D6)</f>
        <v>3998</v>
      </c>
      <c r="G6" s="149" t="s">
        <v>168</v>
      </c>
      <c r="H6" s="152">
        <v>2138</v>
      </c>
      <c r="I6" s="152">
        <v>1059</v>
      </c>
      <c r="J6" s="152">
        <v>32</v>
      </c>
      <c r="K6" s="156">
        <f>SUM(H6:J6)</f>
        <v>3229</v>
      </c>
    </row>
    <row r="7" spans="1:11" ht="13.5">
      <c r="A7" s="149" t="s">
        <v>169</v>
      </c>
      <c r="B7" s="152">
        <v>433</v>
      </c>
      <c r="C7" s="152">
        <v>253</v>
      </c>
      <c r="D7" s="148">
        <v>5</v>
      </c>
      <c r="E7" s="156">
        <f>SUM(B7:D7)</f>
        <v>691</v>
      </c>
      <c r="G7" s="158" t="s">
        <v>142</v>
      </c>
      <c r="H7" s="156">
        <f>SUM(H4:H6)</f>
        <v>3818</v>
      </c>
      <c r="I7" s="156">
        <f>SUM(I4:I6)</f>
        <v>2192</v>
      </c>
      <c r="J7" s="156">
        <f>SUM(J4:J6)</f>
        <v>58</v>
      </c>
      <c r="K7" s="156">
        <f>SUM(K4:K6)</f>
        <v>6068</v>
      </c>
    </row>
    <row r="8" spans="1:5" ht="15.75" customHeight="1">
      <c r="A8" s="158" t="s">
        <v>142</v>
      </c>
      <c r="B8" s="156">
        <f>SUM(B5:B7)</f>
        <v>3815</v>
      </c>
      <c r="C8" s="156">
        <f>SUM(C5:C7)</f>
        <v>2191</v>
      </c>
      <c r="D8" s="156">
        <f>SUM(D5:D7)</f>
        <v>61</v>
      </c>
      <c r="E8" s="156">
        <f>SUM(E5:E7)</f>
        <v>6067</v>
      </c>
    </row>
    <row r="9" ht="15.75" customHeight="1"/>
    <row r="10" ht="14.25" customHeight="1">
      <c r="A10" s="153" t="s">
        <v>148</v>
      </c>
    </row>
    <row r="11" spans="1:11" ht="27">
      <c r="A11" s="148" t="s">
        <v>171</v>
      </c>
      <c r="B11" s="149" t="s">
        <v>172</v>
      </c>
      <c r="C11" s="149" t="s">
        <v>173</v>
      </c>
      <c r="D11" s="150" t="s">
        <v>166</v>
      </c>
      <c r="E11" s="157" t="s">
        <v>142</v>
      </c>
      <c r="G11" s="149" t="s">
        <v>174</v>
      </c>
      <c r="H11" s="149" t="s">
        <v>175</v>
      </c>
      <c r="I11" s="149" t="s">
        <v>176</v>
      </c>
      <c r="J11" s="150" t="s">
        <v>166</v>
      </c>
      <c r="K11" s="157" t="s">
        <v>142</v>
      </c>
    </row>
    <row r="12" spans="1:11" ht="13.5">
      <c r="A12" s="148" t="s">
        <v>177</v>
      </c>
      <c r="B12" s="152">
        <f>B$8*$E5/$E$8</f>
        <v>866.5023899785726</v>
      </c>
      <c r="C12" s="152">
        <f>C$8*$E5/$E$8</f>
        <v>497.6426569968683</v>
      </c>
      <c r="D12" s="152">
        <f>D$8*$E5/$E$8</f>
        <v>13.85495302455909</v>
      </c>
      <c r="E12" s="156">
        <f>SUM(B12:D12)</f>
        <v>1378</v>
      </c>
      <c r="G12" s="149" t="s">
        <v>167</v>
      </c>
      <c r="H12" s="152">
        <f>H$7*$K5/$K$7</f>
        <v>1786.3055372445617</v>
      </c>
      <c r="I12" s="152">
        <f>I$7*$K5/$K$7</f>
        <v>1025.5583388266316</v>
      </c>
      <c r="J12" s="152">
        <f>J$7*$K5/$K$7</f>
        <v>27.136123928806857</v>
      </c>
      <c r="K12" s="152">
        <f>K$7*$K5/$K$7</f>
        <v>2839</v>
      </c>
    </row>
    <row r="13" spans="1:11" ht="13.5">
      <c r="A13" s="148" t="s">
        <v>178</v>
      </c>
      <c r="B13" s="152">
        <f aca="true" t="shared" si="0" ref="B13:D14">B$8*$E6/$E$8</f>
        <v>2513.988791824625</v>
      </c>
      <c r="C13" s="152">
        <f t="shared" si="0"/>
        <v>1443.8137464974452</v>
      </c>
      <c r="D13" s="152">
        <f t="shared" si="0"/>
        <v>40.19746167792979</v>
      </c>
      <c r="E13" s="156">
        <f>SUM(B13:D13)</f>
        <v>3998</v>
      </c>
      <c r="G13" s="149" t="s">
        <v>168</v>
      </c>
      <c r="H13" s="152">
        <f aca="true" t="shared" si="1" ref="H13:K14">H$7*$K6/$K$7</f>
        <v>2031.6944627554383</v>
      </c>
      <c r="I13" s="152">
        <f t="shared" si="1"/>
        <v>1166.4416611733684</v>
      </c>
      <c r="J13" s="152">
        <f t="shared" si="1"/>
        <v>30.863876071193143</v>
      </c>
      <c r="K13" s="152">
        <f t="shared" si="1"/>
        <v>3229</v>
      </c>
    </row>
    <row r="14" spans="1:11" ht="13.5">
      <c r="A14" s="148" t="s">
        <v>169</v>
      </c>
      <c r="B14" s="152">
        <f t="shared" si="0"/>
        <v>434.5088181968024</v>
      </c>
      <c r="C14" s="152">
        <f t="shared" si="0"/>
        <v>249.5435965056865</v>
      </c>
      <c r="D14" s="152">
        <f t="shared" si="0"/>
        <v>6.947585297511126</v>
      </c>
      <c r="E14" s="156">
        <f>SUM(B14:D14)</f>
        <v>691.0000000000001</v>
      </c>
      <c r="G14" s="158" t="s">
        <v>142</v>
      </c>
      <c r="H14" s="152">
        <f t="shared" si="1"/>
        <v>3818</v>
      </c>
      <c r="I14" s="152">
        <f t="shared" si="1"/>
        <v>2192</v>
      </c>
      <c r="J14" s="152">
        <f t="shared" si="1"/>
        <v>58</v>
      </c>
      <c r="K14" s="152">
        <f t="shared" si="1"/>
        <v>6068</v>
      </c>
    </row>
    <row r="15" spans="1:5" ht="13.5">
      <c r="A15" s="158" t="s">
        <v>142</v>
      </c>
      <c r="B15" s="156">
        <f>SUM(B12:B14)</f>
        <v>3815</v>
      </c>
      <c r="C15" s="156">
        <f>SUM(C12:C14)</f>
        <v>2191</v>
      </c>
      <c r="D15" s="156">
        <f>SUM(D12:D14)</f>
        <v>61</v>
      </c>
      <c r="E15" s="156">
        <f>SUM(E12:E14)</f>
        <v>6067</v>
      </c>
    </row>
    <row r="19" spans="1:10" ht="27">
      <c r="A19" s="148" t="s">
        <v>171</v>
      </c>
      <c r="B19" s="149" t="s">
        <v>172</v>
      </c>
      <c r="C19" s="149" t="s">
        <v>173</v>
      </c>
      <c r="D19" s="150" t="s">
        <v>166</v>
      </c>
      <c r="E19" s="154"/>
      <c r="G19" s="149" t="s">
        <v>174</v>
      </c>
      <c r="H19" s="149" t="s">
        <v>175</v>
      </c>
      <c r="I19" s="149" t="s">
        <v>176</v>
      </c>
      <c r="J19" s="150" t="s">
        <v>166</v>
      </c>
    </row>
    <row r="20" spans="1:10" ht="13.5">
      <c r="A20" s="148" t="s">
        <v>177</v>
      </c>
      <c r="B20" s="159">
        <f>(B5-B12)^2/B12</f>
        <v>0.21025386472972285</v>
      </c>
      <c r="C20" s="159">
        <f>(C5-C12)^2/C12</f>
        <v>0.2723871437483698</v>
      </c>
      <c r="D20" s="159">
        <f>(D5-D12)^2/D12</f>
        <v>0.24834806131942247</v>
      </c>
      <c r="E20" s="155"/>
      <c r="G20" s="149" t="s">
        <v>167</v>
      </c>
      <c r="H20" s="159">
        <f aca="true" t="shared" si="2" ref="H20:J21">(H5-H12)^2/H12</f>
        <v>6.326390985881888</v>
      </c>
      <c r="I20" s="159">
        <f t="shared" si="2"/>
        <v>11.256025248549355</v>
      </c>
      <c r="J20" s="159">
        <f t="shared" si="2"/>
        <v>0.04756676321916701</v>
      </c>
    </row>
    <row r="21" spans="1:10" ht="13.5">
      <c r="A21" s="148" t="s">
        <v>178</v>
      </c>
      <c r="B21" s="159">
        <f aca="true" t="shared" si="3" ref="B21:D22">(B6-B13)^2/B13</f>
        <v>0.057172541851261006</v>
      </c>
      <c r="C21" s="159">
        <f t="shared" si="3"/>
        <v>0.04641509098431982</v>
      </c>
      <c r="D21" s="159">
        <f t="shared" si="3"/>
        <v>0.35970673488449023</v>
      </c>
      <c r="E21" s="155"/>
      <c r="G21" s="149" t="s">
        <v>168</v>
      </c>
      <c r="H21" s="159">
        <f t="shared" si="2"/>
        <v>5.562286778853726</v>
      </c>
      <c r="I21" s="159">
        <f t="shared" si="2"/>
        <v>9.896517708464424</v>
      </c>
      <c r="J21" s="159">
        <f t="shared" si="2"/>
        <v>0.041821629228620365</v>
      </c>
    </row>
    <row r="22" spans="1:5" ht="13.5">
      <c r="A22" s="148" t="s">
        <v>169</v>
      </c>
      <c r="B22" s="159">
        <f t="shared" si="3"/>
        <v>0.00523932370452127</v>
      </c>
      <c r="C22" s="159">
        <f t="shared" si="3"/>
        <v>0.04787430045407026</v>
      </c>
      <c r="D22" s="159">
        <f t="shared" si="3"/>
        <v>0.5459578153636087</v>
      </c>
      <c r="E22" s="155"/>
    </row>
    <row r="24" spans="1:8" ht="15">
      <c r="A24" s="161" t="s">
        <v>149</v>
      </c>
      <c r="B24" s="163">
        <f>SUM(B20:D22)</f>
        <v>1.7933548770397862</v>
      </c>
      <c r="G24" s="161" t="s">
        <v>149</v>
      </c>
      <c r="H24" s="163">
        <f>SUM(H20:J21)</f>
        <v>33.13060911419718</v>
      </c>
    </row>
    <row r="25" spans="1:8" ht="18.75" customHeight="1">
      <c r="A25" s="164"/>
      <c r="B25" s="163">
        <f>CHIINV(0.05,2*2)</f>
        <v>9.48772846468799</v>
      </c>
      <c r="G25" s="164"/>
      <c r="H25" s="163">
        <f>CHIINV(0.05,1*2)</f>
        <v>5.991476356825842</v>
      </c>
    </row>
    <row r="26" spans="1:8" ht="13.5">
      <c r="A26" s="162" t="s">
        <v>150</v>
      </c>
      <c r="B26" s="162">
        <f>CHIDIST(B24,4)</f>
        <v>0.7736978970823517</v>
      </c>
      <c r="G26" s="162" t="s">
        <v>150</v>
      </c>
      <c r="H26" s="162">
        <f>CHIDIST(H24,2)</f>
        <v>6.394103176065082E-08</v>
      </c>
    </row>
  </sheetData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2273112" r:id="rId1"/>
    <oleObject progId="Equation.3" shapeId="2313484" r:id="rId2"/>
    <oleObject progId="Equation.3" shapeId="231514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">
      <selection activeCell="A1" sqref="A1"/>
    </sheetView>
  </sheetViews>
  <sheetFormatPr defaultColWidth="8.88671875" defaultRowHeight="15"/>
  <cols>
    <col min="1" max="1" width="7.99609375" style="14" customWidth="1"/>
    <col min="2" max="3" width="8.88671875" style="14" customWidth="1"/>
    <col min="4" max="4" width="9.3359375" style="14" bestFit="1" customWidth="1"/>
    <col min="5" max="5" width="7.99609375" style="14" customWidth="1"/>
    <col min="6" max="7" width="8.4453125" style="14" bestFit="1" customWidth="1"/>
    <col min="8" max="9" width="9.3359375" style="14" bestFit="1" customWidth="1"/>
    <col min="10" max="10" width="8.4453125" style="14" bestFit="1" customWidth="1"/>
    <col min="11" max="11" width="9.3359375" style="14" bestFit="1" customWidth="1"/>
    <col min="12" max="16384" width="7.99609375" style="14" customWidth="1"/>
  </cols>
  <sheetData>
    <row r="1" ht="13.5">
      <c r="A1" s="27" t="s">
        <v>165</v>
      </c>
    </row>
    <row r="2" spans="1:3" ht="13.5">
      <c r="A2" s="27"/>
      <c r="C2" s="27" t="s">
        <v>164</v>
      </c>
    </row>
    <row r="3" spans="1:5" ht="13.5">
      <c r="A3" s="27"/>
      <c r="B3" s="132"/>
      <c r="C3" s="60"/>
      <c r="D3" s="28" t="s">
        <v>154</v>
      </c>
      <c r="E3" s="60" t="s">
        <v>153</v>
      </c>
    </row>
    <row r="4" spans="1:5" ht="13.5">
      <c r="A4" s="27"/>
      <c r="B4" s="132"/>
      <c r="C4" s="133" t="s">
        <v>43</v>
      </c>
      <c r="D4" s="61">
        <f>H133</f>
        <v>-0.29398896397711627</v>
      </c>
      <c r="E4" s="61">
        <f>I133</f>
        <v>-0.7873393113272243</v>
      </c>
    </row>
    <row r="5" spans="1:5" ht="13.5">
      <c r="A5" s="27"/>
      <c r="B5" s="132"/>
      <c r="C5" s="133" t="s">
        <v>44</v>
      </c>
      <c r="D5" s="61">
        <f>J133</f>
        <v>2.4032460293278133</v>
      </c>
      <c r="E5" s="61">
        <f>K133</f>
        <v>6.120042301647289</v>
      </c>
    </row>
    <row r="6" spans="1:5" ht="15">
      <c r="A6" s="27"/>
      <c r="B6" s="132"/>
      <c r="C6" s="134" t="s">
        <v>162</v>
      </c>
      <c r="D6" s="146">
        <f>COUNT(D14:D132)</f>
        <v>119</v>
      </c>
      <c r="E6" s="146">
        <f>COUNT(E14:E132)</f>
        <v>119</v>
      </c>
    </row>
    <row r="7" spans="1:5" ht="16.5">
      <c r="A7" s="27"/>
      <c r="C7" s="134" t="s">
        <v>160</v>
      </c>
      <c r="D7" s="61">
        <f>SQRT(D6)*D4/SQRT(6)</f>
        <v>-1.30926899463659</v>
      </c>
      <c r="E7" s="61">
        <f>SQRT(E6)*E4/SQRT(6)</f>
        <v>-3.5063865481001506</v>
      </c>
    </row>
    <row r="8" spans="1:5" ht="16.5">
      <c r="A8" s="27"/>
      <c r="B8"/>
      <c r="C8" s="134" t="s">
        <v>161</v>
      </c>
      <c r="D8" s="61">
        <f>SQRT(D6)*(D5-3)/SQRT(24)</f>
        <v>-1.3288108857177772</v>
      </c>
      <c r="E8" s="61">
        <f>SQRT(E6)*(E5-3)/SQRT(24)</f>
        <v>6.947496586673484</v>
      </c>
    </row>
    <row r="9" spans="1:5" ht="15">
      <c r="A9" s="27"/>
      <c r="B9"/>
      <c r="C9" s="133" t="s">
        <v>159</v>
      </c>
      <c r="D9" s="61">
        <f>D6/6*(D4^2+(D5-3)^2/4)</f>
        <v>3.4799236703187693</v>
      </c>
      <c r="E9" s="61">
        <f>E6/6*(E4^2+(E5-3)^2/4)</f>
        <v>60.5624554465374</v>
      </c>
    </row>
    <row r="10" ht="13.5">
      <c r="A10" s="27"/>
    </row>
    <row r="11" spans="1:11" ht="15.75">
      <c r="A11" s="173"/>
      <c r="B11" s="174" t="s">
        <v>163</v>
      </c>
      <c r="C11" s="173"/>
      <c r="D11" s="173" t="s">
        <v>7</v>
      </c>
      <c r="E11" s="173"/>
      <c r="F11" s="174" t="s">
        <v>158</v>
      </c>
      <c r="G11" s="174"/>
      <c r="H11" s="172" t="s">
        <v>156</v>
      </c>
      <c r="I11" s="173"/>
      <c r="J11" s="172" t="s">
        <v>157</v>
      </c>
      <c r="K11" s="173"/>
    </row>
    <row r="12" spans="1:11" ht="13.5">
      <c r="A12" s="173"/>
      <c r="B12" s="28" t="s">
        <v>154</v>
      </c>
      <c r="C12" s="60" t="s">
        <v>153</v>
      </c>
      <c r="D12" s="28" t="s">
        <v>154</v>
      </c>
      <c r="E12" s="60" t="s">
        <v>153</v>
      </c>
      <c r="F12" s="28" t="s">
        <v>154</v>
      </c>
      <c r="G12" s="60" t="s">
        <v>153</v>
      </c>
      <c r="H12" s="28" t="s">
        <v>154</v>
      </c>
      <c r="I12" s="60" t="s">
        <v>153</v>
      </c>
      <c r="J12" s="28" t="s">
        <v>154</v>
      </c>
      <c r="K12" s="60" t="s">
        <v>153</v>
      </c>
    </row>
    <row r="13" spans="1:11" ht="14.25">
      <c r="A13" s="135">
        <v>35431</v>
      </c>
      <c r="B13" s="5">
        <v>18330</v>
      </c>
      <c r="C13" s="138">
        <v>122.13</v>
      </c>
      <c r="D13" s="5"/>
      <c r="E13" s="5"/>
      <c r="F13" s="5"/>
      <c r="G13" s="5"/>
      <c r="H13" s="5"/>
      <c r="I13" s="5"/>
      <c r="J13" s="5"/>
      <c r="K13" s="5"/>
    </row>
    <row r="14" spans="1:11" ht="14.25">
      <c r="A14" s="136">
        <v>35462</v>
      </c>
      <c r="B14" s="7">
        <v>18557</v>
      </c>
      <c r="C14" s="139">
        <v>120.88</v>
      </c>
      <c r="D14" s="141">
        <f>(B14-B13)/B13*100</f>
        <v>1.2384069830878341</v>
      </c>
      <c r="E14" s="141">
        <f>(C14-C13)/C13*100</f>
        <v>-1.0234995496601982</v>
      </c>
      <c r="F14" s="141">
        <f>(D14-D$133)/D$135</f>
        <v>0.21211098017014077</v>
      </c>
      <c r="G14" s="141">
        <f>(E14-E$133)/E$135</f>
        <v>-0.3357816711360913</v>
      </c>
      <c r="H14" s="141">
        <f>F14^3</f>
        <v>0.009543099513023751</v>
      </c>
      <c r="I14" s="141">
        <f>G14^3</f>
        <v>-0.03785915867216606</v>
      </c>
      <c r="J14" s="141">
        <f>F14^4</f>
        <v>0.002024196191568661</v>
      </c>
      <c r="K14" s="141">
        <f>G14^4</f>
        <v>0.012712411566746363</v>
      </c>
    </row>
    <row r="15" spans="1:11" ht="14.25">
      <c r="A15" s="136">
        <v>35490</v>
      </c>
      <c r="B15" s="7">
        <v>18003</v>
      </c>
      <c r="C15" s="139">
        <v>123.97</v>
      </c>
      <c r="D15" s="141">
        <f aca="true" t="shared" si="0" ref="D15:D78">(B15-B14)/B14*100</f>
        <v>-2.9853963463921973</v>
      </c>
      <c r="E15" s="141">
        <f aca="true" t="shared" si="1" ref="E15:E46">(C15-C14)/C14*100</f>
        <v>2.556254136333557</v>
      </c>
      <c r="F15" s="141">
        <f aca="true" t="shared" si="2" ref="F15:F78">(D15-D$133)/D$135</f>
        <v>-0.5713925410976479</v>
      </c>
      <c r="G15" s="141">
        <f aca="true" t="shared" si="3" ref="G15:G78">(E15-E$133)/E$135</f>
        <v>0.8078554094042707</v>
      </c>
      <c r="H15" s="141">
        <f aca="true" t="shared" si="4" ref="H15:H78">F15^3</f>
        <v>-0.18655362849016413</v>
      </c>
      <c r="I15" s="141">
        <f aca="true" t="shared" si="5" ref="I15:I78">G15^3</f>
        <v>0.527230968690118</v>
      </c>
      <c r="J15" s="141">
        <f aca="true" t="shared" si="6" ref="J15:J78">F15^4</f>
        <v>0.10659535183398146</v>
      </c>
      <c r="K15" s="141">
        <f aca="true" t="shared" si="7" ref="K15:K78">G15^4</f>
        <v>0.42592639006176547</v>
      </c>
    </row>
    <row r="16" spans="1:11" ht="14.25">
      <c r="A16" s="136">
        <v>35521</v>
      </c>
      <c r="B16" s="7">
        <v>19151</v>
      </c>
      <c r="C16" s="139">
        <v>126.92</v>
      </c>
      <c r="D16" s="141">
        <f t="shared" si="0"/>
        <v>6.376714991945787</v>
      </c>
      <c r="E16" s="141">
        <f t="shared" si="1"/>
        <v>2.379607969670084</v>
      </c>
      <c r="F16" s="141">
        <f t="shared" si="2"/>
        <v>1.1652525221070116</v>
      </c>
      <c r="G16" s="141">
        <f t="shared" si="3"/>
        <v>0.7514216086313051</v>
      </c>
      <c r="H16" s="141">
        <f t="shared" si="4"/>
        <v>1.5821955358332827</v>
      </c>
      <c r="I16" s="141">
        <f t="shared" si="5"/>
        <v>0.42427851462333377</v>
      </c>
      <c r="J16" s="141">
        <f t="shared" si="6"/>
        <v>1.8436573385961872</v>
      </c>
      <c r="K16" s="141">
        <f t="shared" si="7"/>
        <v>0.3188120439659662</v>
      </c>
    </row>
    <row r="17" spans="1:11" ht="14.25">
      <c r="A17" s="136">
        <v>35551</v>
      </c>
      <c r="B17" s="7">
        <v>20069</v>
      </c>
      <c r="C17" s="139">
        <v>116.43</v>
      </c>
      <c r="D17" s="141">
        <f t="shared" si="0"/>
        <v>4.793483369014673</v>
      </c>
      <c r="E17" s="141">
        <f t="shared" si="1"/>
        <v>-8.26504884966908</v>
      </c>
      <c r="F17" s="141">
        <f t="shared" si="2"/>
        <v>0.871567552711964</v>
      </c>
      <c r="G17" s="141">
        <f t="shared" si="3"/>
        <v>-2.649266068806939</v>
      </c>
      <c r="H17" s="141">
        <f t="shared" si="4"/>
        <v>0.6620688591430083</v>
      </c>
      <c r="I17" s="141">
        <f t="shared" si="5"/>
        <v>-18.594167186502077</v>
      </c>
      <c r="J17" s="141">
        <f t="shared" si="6"/>
        <v>0.5770377352900736</v>
      </c>
      <c r="K17" s="141">
        <f t="shared" si="7"/>
        <v>49.26089620492334</v>
      </c>
    </row>
    <row r="18" spans="1:11" ht="14.25">
      <c r="A18" s="136">
        <v>35582</v>
      </c>
      <c r="B18" s="7">
        <v>20605</v>
      </c>
      <c r="C18" s="139">
        <v>114.3</v>
      </c>
      <c r="D18" s="141">
        <f t="shared" si="0"/>
        <v>2.670785789027854</v>
      </c>
      <c r="E18" s="141">
        <f t="shared" si="1"/>
        <v>-1.8294254058232495</v>
      </c>
      <c r="F18" s="141">
        <f t="shared" si="2"/>
        <v>0.477813180462102</v>
      </c>
      <c r="G18" s="141">
        <f t="shared" si="3"/>
        <v>-0.5932537695322802</v>
      </c>
      <c r="H18" s="141">
        <f t="shared" si="4"/>
        <v>0.10908734621639646</v>
      </c>
      <c r="I18" s="141">
        <f t="shared" si="5"/>
        <v>-0.20879568498889028</v>
      </c>
      <c r="J18" s="141">
        <f t="shared" si="6"/>
        <v>0.05212337184382684</v>
      </c>
      <c r="K18" s="141">
        <f t="shared" si="7"/>
        <v>0.12386882718173367</v>
      </c>
    </row>
    <row r="19" spans="1:11" ht="14.25">
      <c r="A19" s="136">
        <v>35612</v>
      </c>
      <c r="B19" s="7">
        <v>20331</v>
      </c>
      <c r="C19" s="139">
        <v>117.74</v>
      </c>
      <c r="D19" s="141">
        <f t="shared" si="0"/>
        <v>-1.3297743266197526</v>
      </c>
      <c r="E19" s="141">
        <f t="shared" si="1"/>
        <v>3.0096237970253696</v>
      </c>
      <c r="F19" s="141">
        <f t="shared" si="2"/>
        <v>-0.2642793586901024</v>
      </c>
      <c r="G19" s="141">
        <f t="shared" si="3"/>
        <v>0.9526950829236581</v>
      </c>
      <c r="H19" s="141">
        <f t="shared" si="4"/>
        <v>-0.0184582163802896</v>
      </c>
      <c r="I19" s="141">
        <f t="shared" si="5"/>
        <v>0.864692657486565</v>
      </c>
      <c r="J19" s="141">
        <f t="shared" si="6"/>
        <v>0.004878125587546078</v>
      </c>
      <c r="K19" s="141">
        <f t="shared" si="7"/>
        <v>0.8237884430276413</v>
      </c>
    </row>
    <row r="20" spans="1:11" ht="14.25">
      <c r="A20" s="136">
        <v>35643</v>
      </c>
      <c r="B20" s="7">
        <v>18229</v>
      </c>
      <c r="C20" s="139">
        <v>119.39</v>
      </c>
      <c r="D20" s="141">
        <f t="shared" si="0"/>
        <v>-10.338891348187497</v>
      </c>
      <c r="E20" s="141">
        <f t="shared" si="1"/>
        <v>1.4013928996093135</v>
      </c>
      <c r="F20" s="141">
        <f t="shared" si="2"/>
        <v>-1.935444978700363</v>
      </c>
      <c r="G20" s="141">
        <f t="shared" si="3"/>
        <v>0.4389076411921397</v>
      </c>
      <c r="H20" s="141">
        <f t="shared" si="4"/>
        <v>-7.2500748256362915</v>
      </c>
      <c r="I20" s="141">
        <f t="shared" si="5"/>
        <v>0.08455113178798998</v>
      </c>
      <c r="J20" s="141">
        <f t="shared" si="6"/>
        <v>14.032120916479668</v>
      </c>
      <c r="K20" s="141">
        <f t="shared" si="7"/>
        <v>0.037110137813192424</v>
      </c>
    </row>
    <row r="21" spans="1:11" ht="14.25">
      <c r="A21" s="136">
        <v>35674</v>
      </c>
      <c r="B21" s="7">
        <v>17888</v>
      </c>
      <c r="C21" s="139">
        <v>121.44</v>
      </c>
      <c r="D21" s="141">
        <f t="shared" si="0"/>
        <v>-1.8706456744747382</v>
      </c>
      <c r="E21" s="141">
        <f t="shared" si="1"/>
        <v>1.7170617304631854</v>
      </c>
      <c r="F21" s="141">
        <f t="shared" si="2"/>
        <v>-0.3646094575466238</v>
      </c>
      <c r="G21" s="141">
        <f t="shared" si="3"/>
        <v>0.5397555239802242</v>
      </c>
      <c r="H21" s="141">
        <f t="shared" si="4"/>
        <v>-0.04847120189851165</v>
      </c>
      <c r="I21" s="141">
        <f t="shared" si="5"/>
        <v>0.15725022918829742</v>
      </c>
      <c r="J21" s="141">
        <f t="shared" si="6"/>
        <v>0.017673058630849215</v>
      </c>
      <c r="K21" s="141">
        <f t="shared" si="7"/>
        <v>0.08487667985153982</v>
      </c>
    </row>
    <row r="22" spans="1:11" ht="14.25">
      <c r="A22" s="136">
        <v>35704</v>
      </c>
      <c r="B22" s="7">
        <v>16459</v>
      </c>
      <c r="C22" s="139">
        <v>120.29</v>
      </c>
      <c r="D22" s="141">
        <f t="shared" si="0"/>
        <v>-7.9885957066189635</v>
      </c>
      <c r="E22" s="141">
        <f t="shared" si="1"/>
        <v>-0.9469696969696899</v>
      </c>
      <c r="F22" s="141">
        <f t="shared" si="2"/>
        <v>-1.4994718124459638</v>
      </c>
      <c r="G22" s="141">
        <f t="shared" si="3"/>
        <v>-0.3113323975317092</v>
      </c>
      <c r="H22" s="141">
        <f t="shared" si="4"/>
        <v>-3.371435989282316</v>
      </c>
      <c r="I22" s="141">
        <f t="shared" si="5"/>
        <v>-0.030176783587134427</v>
      </c>
      <c r="J22" s="141">
        <f t="shared" si="6"/>
        <v>5.055373233394706</v>
      </c>
      <c r="K22" s="141">
        <f t="shared" si="7"/>
        <v>0.009395010383978095</v>
      </c>
    </row>
    <row r="23" spans="1:11" ht="14.25">
      <c r="A23" s="136">
        <v>35735</v>
      </c>
      <c r="B23" s="7">
        <v>16636</v>
      </c>
      <c r="C23" s="139">
        <v>127.66</v>
      </c>
      <c r="D23" s="141">
        <f t="shared" si="0"/>
        <v>1.0753994774895195</v>
      </c>
      <c r="E23" s="141">
        <f t="shared" si="1"/>
        <v>6.126860088120367</v>
      </c>
      <c r="F23" s="141">
        <f t="shared" si="2"/>
        <v>0.1818735508518868</v>
      </c>
      <c r="G23" s="141">
        <f t="shared" si="3"/>
        <v>1.9485700296415895</v>
      </c>
      <c r="H23" s="141">
        <f t="shared" si="4"/>
        <v>0.0060160112234371845</v>
      </c>
      <c r="I23" s="141">
        <f t="shared" si="5"/>
        <v>7.398574572381479</v>
      </c>
      <c r="J23" s="141">
        <f t="shared" si="6"/>
        <v>0.0010941533231713246</v>
      </c>
      <c r="K23" s="141">
        <f t="shared" si="7"/>
        <v>14.416640673810889</v>
      </c>
    </row>
    <row r="24" spans="1:11" ht="14.25">
      <c r="A24" s="136">
        <v>35765</v>
      </c>
      <c r="B24" s="7">
        <v>15259</v>
      </c>
      <c r="C24" s="139">
        <v>129.92</v>
      </c>
      <c r="D24" s="141">
        <f t="shared" si="0"/>
        <v>-8.277230103390238</v>
      </c>
      <c r="E24" s="141">
        <f t="shared" si="1"/>
        <v>1.7703274322418854</v>
      </c>
      <c r="F24" s="141">
        <f t="shared" si="2"/>
        <v>-1.5530126732741447</v>
      </c>
      <c r="G24" s="141">
        <f t="shared" si="3"/>
        <v>0.5567725137003465</v>
      </c>
      <c r="H24" s="141">
        <f t="shared" si="4"/>
        <v>-3.745631074298218</v>
      </c>
      <c r="I24" s="141">
        <f t="shared" si="5"/>
        <v>0.1725970472715616</v>
      </c>
      <c r="J24" s="141">
        <f t="shared" si="6"/>
        <v>5.817012527794582</v>
      </c>
      <c r="K24" s="141">
        <f t="shared" si="7"/>
        <v>0.0960972918666449</v>
      </c>
    </row>
    <row r="25" spans="1:11" ht="14.25">
      <c r="A25" s="136">
        <v>35796</v>
      </c>
      <c r="B25" s="7">
        <v>16628</v>
      </c>
      <c r="C25" s="139">
        <v>127.34</v>
      </c>
      <c r="D25" s="141">
        <f t="shared" si="0"/>
        <v>8.971754374467528</v>
      </c>
      <c r="E25" s="141">
        <f t="shared" si="1"/>
        <v>-1.9858374384236332</v>
      </c>
      <c r="F25" s="141">
        <f t="shared" si="2"/>
        <v>1.646624957192589</v>
      </c>
      <c r="G25" s="141">
        <f t="shared" si="3"/>
        <v>-0.643223297051554</v>
      </c>
      <c r="H25" s="141">
        <f t="shared" si="4"/>
        <v>4.4646156844497105</v>
      </c>
      <c r="I25" s="141">
        <f t="shared" si="5"/>
        <v>-0.2661247690221126</v>
      </c>
      <c r="J25" s="141">
        <f t="shared" si="6"/>
        <v>7.351547610288367</v>
      </c>
      <c r="K25" s="141">
        <f t="shared" si="7"/>
        <v>0.17117765135748653</v>
      </c>
    </row>
    <row r="26" spans="1:11" ht="14.25">
      <c r="A26" s="136">
        <v>35827</v>
      </c>
      <c r="B26" s="7">
        <v>16832</v>
      </c>
      <c r="C26" s="139">
        <v>126.72</v>
      </c>
      <c r="D26" s="141">
        <f t="shared" si="0"/>
        <v>1.2268462833774356</v>
      </c>
      <c r="E26" s="141">
        <f t="shared" si="1"/>
        <v>-0.4868855033767901</v>
      </c>
      <c r="F26" s="141">
        <f t="shared" si="2"/>
        <v>0.20996650320829993</v>
      </c>
      <c r="G26" s="141">
        <f t="shared" si="3"/>
        <v>-0.16434760748259053</v>
      </c>
      <c r="H26" s="141">
        <f t="shared" si="4"/>
        <v>0.00925656908130258</v>
      </c>
      <c r="I26" s="141">
        <f t="shared" si="5"/>
        <v>-0.004439051243390292</v>
      </c>
      <c r="J26" s="141">
        <f t="shared" si="6"/>
        <v>0.0019435694417071685</v>
      </c>
      <c r="K26" s="141">
        <f t="shared" si="7"/>
        <v>0.0007295474513438131</v>
      </c>
    </row>
    <row r="27" spans="1:11" ht="14.25">
      <c r="A27" s="136">
        <v>35855</v>
      </c>
      <c r="B27" s="7">
        <v>16527</v>
      </c>
      <c r="C27" s="139">
        <v>133.39</v>
      </c>
      <c r="D27" s="141">
        <f t="shared" si="0"/>
        <v>-1.8120247148288975</v>
      </c>
      <c r="E27" s="141">
        <f t="shared" si="1"/>
        <v>5.263573232323222</v>
      </c>
      <c r="F27" s="141">
        <f t="shared" si="2"/>
        <v>-0.3537354360262452</v>
      </c>
      <c r="G27" s="141">
        <f t="shared" si="3"/>
        <v>1.6727726016521718</v>
      </c>
      <c r="H27" s="141">
        <f t="shared" si="4"/>
        <v>-0.04426247601840708</v>
      </c>
      <c r="I27" s="141">
        <f t="shared" si="5"/>
        <v>4.680699061029909</v>
      </c>
      <c r="J27" s="141">
        <f t="shared" si="6"/>
        <v>0.01565720625397245</v>
      </c>
      <c r="K27" s="141">
        <f t="shared" si="7"/>
        <v>7.829745145869877</v>
      </c>
    </row>
    <row r="28" spans="1:11" ht="14.25">
      <c r="A28" s="136">
        <v>35886</v>
      </c>
      <c r="B28" s="7">
        <v>15641</v>
      </c>
      <c r="C28" s="139">
        <v>131.95</v>
      </c>
      <c r="D28" s="141">
        <f t="shared" si="0"/>
        <v>-5.360924547709808</v>
      </c>
      <c r="E28" s="141">
        <f t="shared" si="1"/>
        <v>-1.0795411949921268</v>
      </c>
      <c r="F28" s="141">
        <f t="shared" si="2"/>
        <v>-1.0120462755205548</v>
      </c>
      <c r="G28" s="141">
        <f t="shared" si="3"/>
        <v>-0.35368550175629593</v>
      </c>
      <c r="H28" s="141">
        <f t="shared" si="4"/>
        <v>-1.036575912891631</v>
      </c>
      <c r="I28" s="141">
        <f t="shared" si="5"/>
        <v>-0.04424373402468149</v>
      </c>
      <c r="J28" s="141">
        <f t="shared" si="6"/>
        <v>1.0490627919362943</v>
      </c>
      <c r="K28" s="141">
        <f t="shared" si="7"/>
        <v>0.015648367268091577</v>
      </c>
    </row>
    <row r="29" spans="1:11" ht="14.25">
      <c r="A29" s="136">
        <v>35916</v>
      </c>
      <c r="B29" s="7">
        <v>15671</v>
      </c>
      <c r="C29" s="139">
        <v>138.72</v>
      </c>
      <c r="D29" s="141">
        <f t="shared" si="0"/>
        <v>0.19180359312064446</v>
      </c>
      <c r="E29" s="141">
        <f t="shared" si="1"/>
        <v>5.130731337627897</v>
      </c>
      <c r="F29" s="141">
        <f t="shared" si="2"/>
        <v>0.017969023870521746</v>
      </c>
      <c r="G29" s="141">
        <f t="shared" si="3"/>
        <v>1.6303331128076657</v>
      </c>
      <c r="H29" s="141">
        <f t="shared" si="4"/>
        <v>5.801942986537165E-06</v>
      </c>
      <c r="I29" s="141">
        <f t="shared" si="5"/>
        <v>4.333402684907682</v>
      </c>
      <c r="J29" s="141">
        <f t="shared" si="6"/>
        <v>1.0425525202049254E-07</v>
      </c>
      <c r="K29" s="141">
        <f t="shared" si="7"/>
        <v>7.064889888334637</v>
      </c>
    </row>
    <row r="30" spans="1:11" ht="14.25">
      <c r="A30" s="136">
        <v>35947</v>
      </c>
      <c r="B30" s="7">
        <v>15830</v>
      </c>
      <c r="C30" s="139">
        <v>139.95</v>
      </c>
      <c r="D30" s="141">
        <f t="shared" si="0"/>
        <v>1.0146129793886798</v>
      </c>
      <c r="E30" s="141">
        <f t="shared" si="1"/>
        <v>0.8866782006920341</v>
      </c>
      <c r="F30" s="141">
        <f t="shared" si="2"/>
        <v>0.17059782809861915</v>
      </c>
      <c r="G30" s="141">
        <f t="shared" si="3"/>
        <v>0.2744698426128338</v>
      </c>
      <c r="H30" s="141">
        <f t="shared" si="4"/>
        <v>0.004965014183015211</v>
      </c>
      <c r="I30" s="141">
        <f t="shared" si="5"/>
        <v>0.020676827273932514</v>
      </c>
      <c r="J30" s="141">
        <f t="shared" si="6"/>
        <v>0.0008470206361012349</v>
      </c>
      <c r="K30" s="141">
        <f t="shared" si="7"/>
        <v>0.005675165527609007</v>
      </c>
    </row>
    <row r="31" spans="1:11" ht="14.25">
      <c r="A31" s="136">
        <v>35977</v>
      </c>
      <c r="B31" s="7">
        <v>16379</v>
      </c>
      <c r="C31" s="139">
        <v>143.79</v>
      </c>
      <c r="D31" s="141">
        <f t="shared" si="0"/>
        <v>3.4680985470625396</v>
      </c>
      <c r="E31" s="141">
        <f t="shared" si="1"/>
        <v>2.7438370846731</v>
      </c>
      <c r="F31" s="141">
        <f t="shared" si="2"/>
        <v>0.6257124325678604</v>
      </c>
      <c r="G31" s="141">
        <f t="shared" si="3"/>
        <v>0.8677832240574276</v>
      </c>
      <c r="H31" s="141">
        <f t="shared" si="4"/>
        <v>0.24497645895237077</v>
      </c>
      <c r="I31" s="141">
        <f t="shared" si="5"/>
        <v>0.6534821817632146</v>
      </c>
      <c r="J31" s="141">
        <f t="shared" si="6"/>
        <v>0.15328481605294852</v>
      </c>
      <c r="K31" s="141">
        <f t="shared" si="7"/>
        <v>0.5670808745545644</v>
      </c>
    </row>
    <row r="32" spans="1:11" ht="14.25">
      <c r="A32" s="136">
        <v>36008</v>
      </c>
      <c r="B32" s="7">
        <v>14108</v>
      </c>
      <c r="C32" s="139">
        <v>141.52</v>
      </c>
      <c r="D32" s="141">
        <f t="shared" si="0"/>
        <v>-13.865315342817022</v>
      </c>
      <c r="E32" s="141">
        <f t="shared" si="1"/>
        <v>-1.5786911468113094</v>
      </c>
      <c r="F32" s="141">
        <f t="shared" si="2"/>
        <v>-2.5895866140344084</v>
      </c>
      <c r="G32" s="141">
        <f t="shared" si="3"/>
        <v>-0.5131507733150241</v>
      </c>
      <c r="H32" s="141">
        <f t="shared" si="4"/>
        <v>-17.365661224541423</v>
      </c>
      <c r="I32" s="141">
        <f t="shared" si="5"/>
        <v>-0.13512476857651212</v>
      </c>
      <c r="J32" s="141">
        <f t="shared" si="6"/>
        <v>44.969883850928845</v>
      </c>
      <c r="K32" s="141">
        <f t="shared" si="7"/>
        <v>0.06933937948905086</v>
      </c>
    </row>
    <row r="33" spans="1:11" ht="14.25">
      <c r="A33" s="136">
        <v>36039</v>
      </c>
      <c r="B33" s="7">
        <v>13406</v>
      </c>
      <c r="C33" s="139">
        <v>135.72</v>
      </c>
      <c r="D33" s="141">
        <f t="shared" si="0"/>
        <v>-4.9759001984689535</v>
      </c>
      <c r="E33" s="141">
        <f t="shared" si="1"/>
        <v>-4.098360655737713</v>
      </c>
      <c r="F33" s="141">
        <f t="shared" si="2"/>
        <v>-0.9406253522738314</v>
      </c>
      <c r="G33" s="141">
        <f t="shared" si="3"/>
        <v>-1.3181188615915274</v>
      </c>
      <c r="H33" s="141">
        <f t="shared" si="4"/>
        <v>-0.832242786856641</v>
      </c>
      <c r="I33" s="141">
        <f t="shared" si="5"/>
        <v>-2.2901489198340608</v>
      </c>
      <c r="J33" s="141">
        <f t="shared" si="6"/>
        <v>0.782828664564383</v>
      </c>
      <c r="K33" s="141">
        <f t="shared" si="7"/>
        <v>3.018688487086738</v>
      </c>
    </row>
    <row r="34" spans="1:11" ht="14.25">
      <c r="A34" s="136">
        <v>36069</v>
      </c>
      <c r="B34" s="7">
        <v>13565</v>
      </c>
      <c r="C34" s="139">
        <v>116.09</v>
      </c>
      <c r="D34" s="141">
        <f t="shared" si="0"/>
        <v>1.1860361032373563</v>
      </c>
      <c r="E34" s="141">
        <f t="shared" si="1"/>
        <v>-14.463601532567047</v>
      </c>
      <c r="F34" s="141">
        <f t="shared" si="2"/>
        <v>0.20239633070046653</v>
      </c>
      <c r="G34" s="141">
        <f t="shared" si="3"/>
        <v>-4.629540499861028</v>
      </c>
      <c r="H34" s="141">
        <f t="shared" si="4"/>
        <v>0.008291018885242977</v>
      </c>
      <c r="I34" s="141">
        <f t="shared" si="5"/>
        <v>-99.22329915705541</v>
      </c>
      <c r="J34" s="141">
        <f t="shared" si="6"/>
        <v>0.0016780718001414507</v>
      </c>
      <c r="K34" s="141">
        <f t="shared" si="7"/>
        <v>459.35828197741455</v>
      </c>
    </row>
    <row r="35" spans="1:11" ht="14.25">
      <c r="A35" s="136">
        <v>36100</v>
      </c>
      <c r="B35" s="7">
        <v>14884</v>
      </c>
      <c r="C35" s="139">
        <v>123.83</v>
      </c>
      <c r="D35" s="141">
        <f t="shared" si="0"/>
        <v>9.723553262071508</v>
      </c>
      <c r="E35" s="141">
        <f t="shared" si="1"/>
        <v>6.667240933758286</v>
      </c>
      <c r="F35" s="141">
        <f t="shared" si="2"/>
        <v>1.7860815156009175</v>
      </c>
      <c r="G35" s="141">
        <f t="shared" si="3"/>
        <v>2.1212074865435224</v>
      </c>
      <c r="H35" s="141">
        <f t="shared" si="4"/>
        <v>5.697755746016576</v>
      </c>
      <c r="I35" s="141">
        <f t="shared" si="5"/>
        <v>9.544418057355234</v>
      </c>
      <c r="J35" s="141">
        <f t="shared" si="6"/>
        <v>10.176656218369123</v>
      </c>
      <c r="K35" s="141">
        <f t="shared" si="7"/>
        <v>20.245691037963105</v>
      </c>
    </row>
    <row r="36" spans="1:11" ht="14.25">
      <c r="A36" s="136">
        <v>36130</v>
      </c>
      <c r="B36" s="7">
        <v>13842</v>
      </c>
      <c r="C36" s="139">
        <v>115.2</v>
      </c>
      <c r="D36" s="141">
        <f t="shared" si="0"/>
        <v>-7.000806234883096</v>
      </c>
      <c r="E36" s="141">
        <f t="shared" si="1"/>
        <v>-6.969232011628843</v>
      </c>
      <c r="F36" s="141">
        <f t="shared" si="2"/>
        <v>-1.3162396709362936</v>
      </c>
      <c r="G36" s="141">
        <f t="shared" si="3"/>
        <v>-2.235286696044596</v>
      </c>
      <c r="H36" s="141">
        <f t="shared" si="4"/>
        <v>-2.280367949442543</v>
      </c>
      <c r="I36" s="141">
        <f t="shared" si="5"/>
        <v>-11.168624759886606</v>
      </c>
      <c r="J36" s="141">
        <f t="shared" si="6"/>
        <v>3.0015107593879233</v>
      </c>
      <c r="K36" s="141">
        <f t="shared" si="7"/>
        <v>24.9650783388888</v>
      </c>
    </row>
    <row r="37" spans="1:11" ht="14.25">
      <c r="A37" s="136">
        <v>36161</v>
      </c>
      <c r="B37" s="7">
        <v>14499</v>
      </c>
      <c r="C37" s="139">
        <v>115.98</v>
      </c>
      <c r="D37" s="141">
        <f t="shared" si="0"/>
        <v>4.746423927178153</v>
      </c>
      <c r="E37" s="141">
        <f t="shared" si="1"/>
        <v>0.6770833333333343</v>
      </c>
      <c r="F37" s="141">
        <f t="shared" si="2"/>
        <v>0.8628381599084526</v>
      </c>
      <c r="G37" s="141">
        <f t="shared" si="3"/>
        <v>0.2075097992053204</v>
      </c>
      <c r="H37" s="141">
        <f t="shared" si="4"/>
        <v>0.6423741143579813</v>
      </c>
      <c r="I37" s="141">
        <f t="shared" si="5"/>
        <v>0.008935437685878374</v>
      </c>
      <c r="J37" s="141">
        <f t="shared" si="6"/>
        <v>0.5542648988054625</v>
      </c>
      <c r="K37" s="141">
        <f t="shared" si="7"/>
        <v>0.0018541908800082743</v>
      </c>
    </row>
    <row r="38" spans="1:11" ht="14.25">
      <c r="A38" s="136">
        <v>36192</v>
      </c>
      <c r="B38" s="7">
        <v>14368</v>
      </c>
      <c r="C38" s="139">
        <v>120.32</v>
      </c>
      <c r="D38" s="141">
        <f t="shared" si="0"/>
        <v>-0.9035105869370301</v>
      </c>
      <c r="E38" s="141">
        <f t="shared" si="1"/>
        <v>3.7420244869805046</v>
      </c>
      <c r="F38" s="141">
        <f t="shared" si="2"/>
        <v>-0.18520864564359713</v>
      </c>
      <c r="G38" s="141">
        <f t="shared" si="3"/>
        <v>1.1866778259607718</v>
      </c>
      <c r="H38" s="141">
        <f t="shared" si="4"/>
        <v>-0.006353071861356855</v>
      </c>
      <c r="I38" s="141">
        <f t="shared" si="5"/>
        <v>1.6710847728828808</v>
      </c>
      <c r="J38" s="141">
        <f t="shared" si="6"/>
        <v>0.0011766438351183497</v>
      </c>
      <c r="K38" s="141">
        <f t="shared" si="7"/>
        <v>1.983039245280807</v>
      </c>
    </row>
    <row r="39" spans="1:11" ht="14.25">
      <c r="A39" s="136">
        <v>36220</v>
      </c>
      <c r="B39" s="7">
        <v>15837</v>
      </c>
      <c r="C39" s="139">
        <v>119.99</v>
      </c>
      <c r="D39" s="141">
        <f t="shared" si="0"/>
        <v>10.224109131403118</v>
      </c>
      <c r="E39" s="141">
        <f t="shared" si="1"/>
        <v>-0.2742686170212752</v>
      </c>
      <c r="F39" s="141">
        <f t="shared" si="2"/>
        <v>1.8789332076944638</v>
      </c>
      <c r="G39" s="141">
        <f t="shared" si="3"/>
        <v>-0.0964221085476822</v>
      </c>
      <c r="H39" s="141">
        <f t="shared" si="4"/>
        <v>6.633367005190323</v>
      </c>
      <c r="I39" s="141">
        <f t="shared" si="5"/>
        <v>-0.0008964578469160678</v>
      </c>
      <c r="J39" s="141">
        <f t="shared" si="6"/>
        <v>12.463653544876871</v>
      </c>
      <c r="K39" s="141">
        <f t="shared" si="7"/>
        <v>8.643835582376257E-05</v>
      </c>
    </row>
    <row r="40" spans="1:11" ht="14.25">
      <c r="A40" s="136">
        <v>36251</v>
      </c>
      <c r="B40" s="7">
        <v>16702</v>
      </c>
      <c r="C40" s="139">
        <v>119.59</v>
      </c>
      <c r="D40" s="141">
        <f t="shared" si="0"/>
        <v>5.46189303529709</v>
      </c>
      <c r="E40" s="141">
        <f t="shared" si="1"/>
        <v>-0.33336111342611174</v>
      </c>
      <c r="F40" s="141">
        <f t="shared" si="2"/>
        <v>0.9955556474053243</v>
      </c>
      <c r="G40" s="141">
        <f t="shared" si="3"/>
        <v>-0.11530060578470885</v>
      </c>
      <c r="H40" s="141">
        <f t="shared" si="4"/>
        <v>0.9867261112398781</v>
      </c>
      <c r="I40" s="141">
        <f t="shared" si="5"/>
        <v>-0.0015328327371962572</v>
      </c>
      <c r="J40" s="141">
        <f t="shared" si="6"/>
        <v>0.9823407524871549</v>
      </c>
      <c r="K40" s="141">
        <f t="shared" si="7"/>
        <v>0.00017673654316536187</v>
      </c>
    </row>
    <row r="41" spans="1:11" ht="14.25">
      <c r="A41" s="136">
        <v>36281</v>
      </c>
      <c r="B41" s="7">
        <v>16112</v>
      </c>
      <c r="C41" s="139">
        <v>121.37</v>
      </c>
      <c r="D41" s="141">
        <f t="shared" si="0"/>
        <v>-3.5325110765177823</v>
      </c>
      <c r="E41" s="141">
        <f t="shared" si="1"/>
        <v>1.4884187641107125</v>
      </c>
      <c r="F41" s="141">
        <f t="shared" si="2"/>
        <v>-0.6728807696330523</v>
      </c>
      <c r="G41" s="141">
        <f t="shared" si="3"/>
        <v>0.4667101143062228</v>
      </c>
      <c r="H41" s="141">
        <f t="shared" si="4"/>
        <v>-0.3046592370275538</v>
      </c>
      <c r="I41" s="141">
        <f t="shared" si="5"/>
        <v>0.10165801806366465</v>
      </c>
      <c r="J41" s="141">
        <f t="shared" si="6"/>
        <v>0.20499934188691893</v>
      </c>
      <c r="K41" s="141">
        <f t="shared" si="7"/>
        <v>0.04744482523063699</v>
      </c>
    </row>
    <row r="42" spans="1:11" ht="14.25">
      <c r="A42" s="136">
        <v>36312</v>
      </c>
      <c r="B42" s="7">
        <v>17530</v>
      </c>
      <c r="C42" s="139">
        <v>120.87</v>
      </c>
      <c r="D42" s="141">
        <f t="shared" si="0"/>
        <v>8.800893743793447</v>
      </c>
      <c r="E42" s="141">
        <f t="shared" si="1"/>
        <v>-0.4119634176485128</v>
      </c>
      <c r="F42" s="141">
        <f t="shared" si="2"/>
        <v>1.6149307954770487</v>
      </c>
      <c r="G42" s="141">
        <f t="shared" si="3"/>
        <v>-0.14041197310485942</v>
      </c>
      <c r="H42" s="141">
        <f t="shared" si="4"/>
        <v>4.211741895303038</v>
      </c>
      <c r="I42" s="141">
        <f t="shared" si="5"/>
        <v>-0.002768295371659001</v>
      </c>
      <c r="J42" s="141">
        <f t="shared" si="6"/>
        <v>6.801671689325747</v>
      </c>
      <c r="K42" s="141">
        <f t="shared" si="7"/>
        <v>0.00038870181527169047</v>
      </c>
    </row>
    <row r="43" spans="1:11" ht="14.25">
      <c r="A43" s="136">
        <v>36342</v>
      </c>
      <c r="B43" s="7">
        <v>17862</v>
      </c>
      <c r="C43" s="139">
        <v>115.27</v>
      </c>
      <c r="D43" s="141">
        <f t="shared" si="0"/>
        <v>1.8938961779806047</v>
      </c>
      <c r="E43" s="141">
        <f t="shared" si="1"/>
        <v>-4.633076859435764</v>
      </c>
      <c r="F43" s="141">
        <f t="shared" si="2"/>
        <v>0.33370236411715265</v>
      </c>
      <c r="G43" s="141">
        <f t="shared" si="3"/>
        <v>-1.4889466144918235</v>
      </c>
      <c r="H43" s="141">
        <f t="shared" si="4"/>
        <v>0.037160183532285535</v>
      </c>
      <c r="I43" s="141">
        <f t="shared" si="5"/>
        <v>-3.300938095337033</v>
      </c>
      <c r="J43" s="141">
        <f t="shared" si="6"/>
        <v>0.012400441095750968</v>
      </c>
      <c r="K43" s="141">
        <f t="shared" si="7"/>
        <v>4.914920601699164</v>
      </c>
    </row>
    <row r="44" spans="1:11" ht="14.25">
      <c r="A44" s="136">
        <v>36373</v>
      </c>
      <c r="B44" s="7">
        <v>17437</v>
      </c>
      <c r="C44" s="139">
        <v>110.19</v>
      </c>
      <c r="D44" s="141">
        <f t="shared" si="0"/>
        <v>-2.379352816034039</v>
      </c>
      <c r="E44" s="141">
        <f t="shared" si="1"/>
        <v>-4.407044330701829</v>
      </c>
      <c r="F44" s="141">
        <f t="shared" si="2"/>
        <v>-0.45897318748734767</v>
      </c>
      <c r="G44" s="141">
        <f t="shared" si="3"/>
        <v>-1.4167351709280265</v>
      </c>
      <c r="H44" s="141">
        <f t="shared" si="4"/>
        <v>-0.09668563332898662</v>
      </c>
      <c r="I44" s="141">
        <f t="shared" si="5"/>
        <v>-2.843583768981432</v>
      </c>
      <c r="J44" s="141">
        <f t="shared" si="6"/>
        <v>0.04437611331323792</v>
      </c>
      <c r="K44" s="141">
        <f t="shared" si="7"/>
        <v>4.028605136996071</v>
      </c>
    </row>
    <row r="45" spans="1:11" ht="14.25">
      <c r="A45" s="136">
        <v>36404</v>
      </c>
      <c r="B45" s="7">
        <v>17605</v>
      </c>
      <c r="C45" s="139">
        <v>105.66</v>
      </c>
      <c r="D45" s="141">
        <f t="shared" si="0"/>
        <v>0.9634684865515858</v>
      </c>
      <c r="E45" s="141">
        <f t="shared" si="1"/>
        <v>-4.111080860332154</v>
      </c>
      <c r="F45" s="141">
        <f t="shared" si="2"/>
        <v>0.1611106699367709</v>
      </c>
      <c r="G45" s="141">
        <f t="shared" si="3"/>
        <v>-1.322182632152944</v>
      </c>
      <c r="H45" s="141">
        <f t="shared" si="4"/>
        <v>0.004181892943352842</v>
      </c>
      <c r="I45" s="141">
        <f t="shared" si="5"/>
        <v>-2.311395930164809</v>
      </c>
      <c r="J45" s="141">
        <f t="shared" si="6"/>
        <v>0.000673747573707431</v>
      </c>
      <c r="K45" s="141">
        <f t="shared" si="7"/>
        <v>3.0560875548929087</v>
      </c>
    </row>
    <row r="46" spans="1:11" ht="14.25">
      <c r="A46" s="136">
        <v>36434</v>
      </c>
      <c r="B46" s="7">
        <v>17942</v>
      </c>
      <c r="C46" s="139">
        <v>104.89</v>
      </c>
      <c r="D46" s="141">
        <f t="shared" si="0"/>
        <v>1.9142289122408407</v>
      </c>
      <c r="E46" s="141">
        <f t="shared" si="1"/>
        <v>-0.728752602687863</v>
      </c>
      <c r="F46" s="141">
        <f t="shared" si="2"/>
        <v>0.33747402857385406</v>
      </c>
      <c r="G46" s="141">
        <f t="shared" si="3"/>
        <v>-0.2416177795665376</v>
      </c>
      <c r="H46" s="141">
        <f t="shared" si="4"/>
        <v>0.03843448513465059</v>
      </c>
      <c r="I46" s="141">
        <f t="shared" si="5"/>
        <v>-0.014105440934890384</v>
      </c>
      <c r="J46" s="141">
        <f t="shared" si="6"/>
        <v>0.01297064053455244</v>
      </c>
      <c r="K46" s="141">
        <f t="shared" si="7"/>
        <v>0.003408125318495161</v>
      </c>
    </row>
    <row r="47" spans="1:11" ht="14.25">
      <c r="A47" s="136">
        <v>36465</v>
      </c>
      <c r="B47" s="7">
        <v>18558</v>
      </c>
      <c r="C47" s="139">
        <v>102.42</v>
      </c>
      <c r="D47" s="141">
        <f t="shared" si="0"/>
        <v>3.4332850295396273</v>
      </c>
      <c r="E47" s="141">
        <f aca="true" t="shared" si="8" ref="E47:E78">(C47-C46)/C46*100</f>
        <v>-2.354847935932881</v>
      </c>
      <c r="F47" s="141">
        <f t="shared" si="2"/>
        <v>0.6192546239439257</v>
      </c>
      <c r="G47" s="141">
        <f t="shared" si="3"/>
        <v>-0.7611124383383991</v>
      </c>
      <c r="H47" s="141">
        <f t="shared" si="4"/>
        <v>0.23746946530697988</v>
      </c>
      <c r="I47" s="141">
        <f t="shared" si="5"/>
        <v>-0.44090645607289103</v>
      </c>
      <c r="J47" s="141">
        <f t="shared" si="6"/>
        <v>0.14705406443683894</v>
      </c>
      <c r="K47" s="141">
        <f t="shared" si="7"/>
        <v>0.33557938786078034</v>
      </c>
    </row>
    <row r="48" spans="1:11" ht="14.25">
      <c r="A48" s="136">
        <v>36495</v>
      </c>
      <c r="B48" s="7">
        <v>18934</v>
      </c>
      <c r="C48" s="139">
        <v>102.08</v>
      </c>
      <c r="D48" s="141">
        <f t="shared" si="0"/>
        <v>2.0260803965944607</v>
      </c>
      <c r="E48" s="141">
        <f t="shared" si="8"/>
        <v>-0.3319664128100014</v>
      </c>
      <c r="F48" s="141">
        <f t="shared" si="2"/>
        <v>0.3582221612433926</v>
      </c>
      <c r="G48" s="141">
        <f t="shared" si="3"/>
        <v>-0.1148550356475575</v>
      </c>
      <c r="H48" s="141">
        <f t="shared" si="4"/>
        <v>0.04596818423969322</v>
      </c>
      <c r="I48" s="141">
        <f t="shared" si="5"/>
        <v>-0.0015151307863293672</v>
      </c>
      <c r="J48" s="141">
        <f t="shared" si="6"/>
        <v>0.016466822306777363</v>
      </c>
      <c r="K48" s="141">
        <f t="shared" si="7"/>
        <v>0.0001740204004745713</v>
      </c>
    </row>
    <row r="49" spans="1:11" ht="14.25">
      <c r="A49" s="136">
        <v>36526</v>
      </c>
      <c r="B49" s="7">
        <v>19540</v>
      </c>
      <c r="C49" s="139">
        <v>106.9</v>
      </c>
      <c r="D49" s="141">
        <f t="shared" si="0"/>
        <v>3.2005915284673074</v>
      </c>
      <c r="E49" s="141">
        <f t="shared" si="8"/>
        <v>4.721786833855806</v>
      </c>
      <c r="F49" s="141">
        <f t="shared" si="2"/>
        <v>0.5760906403858332</v>
      </c>
      <c r="G49" s="141">
        <f t="shared" si="3"/>
        <v>1.4996861076165502</v>
      </c>
      <c r="H49" s="141">
        <f t="shared" si="4"/>
        <v>0.19119320711138954</v>
      </c>
      <c r="I49" s="141">
        <f t="shared" si="5"/>
        <v>3.3728816697587143</v>
      </c>
      <c r="J49" s="141">
        <f t="shared" si="6"/>
        <v>0.11014461712222165</v>
      </c>
      <c r="K49" s="141">
        <f t="shared" si="7"/>
        <v>5.058263782771657</v>
      </c>
    </row>
    <row r="50" spans="1:11" ht="14.25">
      <c r="A50" s="136">
        <v>36557</v>
      </c>
      <c r="B50" s="7">
        <v>19960</v>
      </c>
      <c r="C50" s="139">
        <v>110.27</v>
      </c>
      <c r="D50" s="141">
        <f t="shared" si="0"/>
        <v>2.1494370522006143</v>
      </c>
      <c r="E50" s="141">
        <f t="shared" si="8"/>
        <v>3.1524789522918524</v>
      </c>
      <c r="F50" s="141">
        <f t="shared" si="2"/>
        <v>0.38110447050354873</v>
      </c>
      <c r="G50" s="141">
        <f t="shared" si="3"/>
        <v>0.99833354496319</v>
      </c>
      <c r="H50" s="141">
        <f t="shared" si="4"/>
        <v>0.05535184860423754</v>
      </c>
      <c r="I50" s="141">
        <f t="shared" si="5"/>
        <v>0.995008961478873</v>
      </c>
      <c r="J50" s="141">
        <f t="shared" si="6"/>
        <v>0.021094836953710536</v>
      </c>
      <c r="K50" s="141">
        <f t="shared" si="7"/>
        <v>0.9933508237833455</v>
      </c>
    </row>
    <row r="51" spans="1:11" ht="14.25">
      <c r="A51" s="136">
        <v>36586</v>
      </c>
      <c r="B51" s="7">
        <v>20337</v>
      </c>
      <c r="C51" s="139">
        <v>105.29</v>
      </c>
      <c r="D51" s="141">
        <f t="shared" si="0"/>
        <v>1.8887775551102204</v>
      </c>
      <c r="E51" s="141">
        <f t="shared" si="8"/>
        <v>-4.516187539675333</v>
      </c>
      <c r="F51" s="141">
        <f t="shared" si="2"/>
        <v>0.3327528741124934</v>
      </c>
      <c r="G51" s="141">
        <f t="shared" si="3"/>
        <v>-1.4516035534537963</v>
      </c>
      <c r="H51" s="141">
        <f t="shared" si="4"/>
        <v>0.036843887367421634</v>
      </c>
      <c r="I51" s="141">
        <f t="shared" si="5"/>
        <v>-3.058750603052176</v>
      </c>
      <c r="J51" s="141">
        <f t="shared" si="6"/>
        <v>0.012259909414986536</v>
      </c>
      <c r="K51" s="141">
        <f t="shared" si="7"/>
        <v>4.440093244519481</v>
      </c>
    </row>
    <row r="52" spans="1:11" ht="14.25">
      <c r="A52" s="136">
        <v>36617</v>
      </c>
      <c r="B52" s="7">
        <v>17974</v>
      </c>
      <c r="C52" s="139">
        <v>106.44</v>
      </c>
      <c r="D52" s="141">
        <f t="shared" si="0"/>
        <v>-11.619216206913507</v>
      </c>
      <c r="E52" s="141">
        <f t="shared" si="8"/>
        <v>1.092221483521694</v>
      </c>
      <c r="F52" s="141">
        <f t="shared" si="2"/>
        <v>-2.17294160364431</v>
      </c>
      <c r="G52" s="141">
        <f t="shared" si="3"/>
        <v>0.3401355114044391</v>
      </c>
      <c r="H52" s="141">
        <f t="shared" si="4"/>
        <v>-10.259924508894185</v>
      </c>
      <c r="I52" s="141">
        <f t="shared" si="5"/>
        <v>0.03935101408815547</v>
      </c>
      <c r="J52" s="141">
        <f t="shared" si="6"/>
        <v>22.29421681562609</v>
      </c>
      <c r="K52" s="141">
        <f t="shared" si="7"/>
        <v>0.01338467730115805</v>
      </c>
    </row>
    <row r="53" spans="1:11" ht="14.25">
      <c r="A53" s="136">
        <v>36647</v>
      </c>
      <c r="B53" s="7">
        <v>16332</v>
      </c>
      <c r="C53" s="139">
        <v>107.3</v>
      </c>
      <c r="D53" s="141">
        <f t="shared" si="0"/>
        <v>-9.135417825748302</v>
      </c>
      <c r="E53" s="141">
        <f t="shared" si="8"/>
        <v>0.8079669297256665</v>
      </c>
      <c r="F53" s="141">
        <f t="shared" si="2"/>
        <v>-1.712204058366192</v>
      </c>
      <c r="G53" s="141">
        <f t="shared" si="3"/>
        <v>0.24932366328608246</v>
      </c>
      <c r="H53" s="141">
        <f t="shared" si="4"/>
        <v>-5.019570592802716</v>
      </c>
      <c r="I53" s="141">
        <f t="shared" si="5"/>
        <v>0.015498529630275789</v>
      </c>
      <c r="J53" s="141">
        <f t="shared" si="6"/>
        <v>8.594529140252403</v>
      </c>
      <c r="K53" s="141">
        <f t="shared" si="7"/>
        <v>0.0038641501829682528</v>
      </c>
    </row>
    <row r="54" spans="1:11" ht="14.25">
      <c r="A54" s="136">
        <v>36678</v>
      </c>
      <c r="B54" s="7">
        <v>17411</v>
      </c>
      <c r="C54" s="139">
        <v>105.4</v>
      </c>
      <c r="D54" s="141">
        <f t="shared" si="0"/>
        <v>6.606661768307617</v>
      </c>
      <c r="E54" s="141">
        <f t="shared" si="8"/>
        <v>-1.7707362534948663</v>
      </c>
      <c r="F54" s="141">
        <f t="shared" si="2"/>
        <v>1.2079069960324937</v>
      </c>
      <c r="G54" s="141">
        <f t="shared" si="3"/>
        <v>-0.5745041301113243</v>
      </c>
      <c r="H54" s="141">
        <f t="shared" si="4"/>
        <v>1.7623837913209288</v>
      </c>
      <c r="I54" s="141">
        <f t="shared" si="5"/>
        <v>-0.18961795808722454</v>
      </c>
      <c r="J54" s="141">
        <f t="shared" si="6"/>
        <v>2.1287957112308202</v>
      </c>
      <c r="K54" s="141">
        <f t="shared" si="7"/>
        <v>0.10893630006438648</v>
      </c>
    </row>
    <row r="55" spans="1:11" ht="14.25">
      <c r="A55" s="136">
        <v>36708</v>
      </c>
      <c r="B55" s="7">
        <v>15727</v>
      </c>
      <c r="C55" s="139">
        <v>109.52</v>
      </c>
      <c r="D55" s="141">
        <f t="shared" si="0"/>
        <v>-9.67204640744357</v>
      </c>
      <c r="E55" s="141">
        <f t="shared" si="8"/>
        <v>3.9089184060720967</v>
      </c>
      <c r="F55" s="141">
        <f t="shared" si="2"/>
        <v>-1.8117471361502944</v>
      </c>
      <c r="G55" s="141">
        <f t="shared" si="3"/>
        <v>1.2399960403218984</v>
      </c>
      <c r="H55" s="141">
        <f t="shared" si="4"/>
        <v>-5.9469289585511165</v>
      </c>
      <c r="I55" s="141">
        <f t="shared" si="5"/>
        <v>1.9066057348551788</v>
      </c>
      <c r="J55" s="141">
        <f t="shared" si="6"/>
        <v>10.774331509544238</v>
      </c>
      <c r="K55" s="141">
        <f t="shared" si="7"/>
        <v>2.364183561675445</v>
      </c>
    </row>
    <row r="56" spans="1:11" ht="14.25">
      <c r="A56" s="136">
        <v>36739</v>
      </c>
      <c r="B56" s="7">
        <v>16861</v>
      </c>
      <c r="C56" s="139">
        <v>106.43</v>
      </c>
      <c r="D56" s="141">
        <f t="shared" si="0"/>
        <v>7.210529662364087</v>
      </c>
      <c r="E56" s="141">
        <f t="shared" si="8"/>
        <v>-2.821402483564636</v>
      </c>
      <c r="F56" s="141">
        <f t="shared" si="2"/>
        <v>1.3199227752880238</v>
      </c>
      <c r="G56" s="141">
        <f t="shared" si="3"/>
        <v>-0.9101643361977595</v>
      </c>
      <c r="H56" s="141">
        <f t="shared" si="4"/>
        <v>2.2995643546011757</v>
      </c>
      <c r="I56" s="141">
        <f t="shared" si="5"/>
        <v>-0.7539793341479655</v>
      </c>
      <c r="J56" s="141">
        <f t="shared" si="6"/>
        <v>3.035247364878597</v>
      </c>
      <c r="K56" s="141">
        <f t="shared" si="7"/>
        <v>0.6862451001716117</v>
      </c>
    </row>
    <row r="57" spans="1:11" ht="14.25">
      <c r="A57" s="136">
        <v>36770</v>
      </c>
      <c r="B57" s="7">
        <v>15747</v>
      </c>
      <c r="C57" s="139">
        <v>107.75</v>
      </c>
      <c r="D57" s="141">
        <f t="shared" si="0"/>
        <v>-6.6069628135935</v>
      </c>
      <c r="E57" s="141">
        <f t="shared" si="8"/>
        <v>1.2402518087005479</v>
      </c>
      <c r="F57" s="141">
        <f t="shared" si="2"/>
        <v>-1.2431828348722578</v>
      </c>
      <c r="G57" s="141">
        <f t="shared" si="3"/>
        <v>0.387427304016139</v>
      </c>
      <c r="H57" s="141">
        <f t="shared" si="4"/>
        <v>-1.921343498170967</v>
      </c>
      <c r="I57" s="141">
        <f t="shared" si="5"/>
        <v>0.05815280574910675</v>
      </c>
      <c r="J57" s="141">
        <f t="shared" si="6"/>
        <v>2.3885812568195632</v>
      </c>
      <c r="K57" s="141">
        <f t="shared" si="7"/>
        <v>0.022529984752350657</v>
      </c>
    </row>
    <row r="58" spans="1:11" ht="14.25">
      <c r="A58" s="136">
        <v>36800</v>
      </c>
      <c r="B58" s="7">
        <v>14540</v>
      </c>
      <c r="C58" s="139">
        <v>108.81</v>
      </c>
      <c r="D58" s="141">
        <f t="shared" si="0"/>
        <v>-7.664952054359561</v>
      </c>
      <c r="E58" s="141">
        <f t="shared" si="8"/>
        <v>0.9837587006960578</v>
      </c>
      <c r="F58" s="141">
        <f t="shared" si="2"/>
        <v>-1.4394368341572312</v>
      </c>
      <c r="G58" s="141">
        <f t="shared" si="3"/>
        <v>0.3054845071235232</v>
      </c>
      <c r="H58" s="141">
        <f t="shared" si="4"/>
        <v>-2.982482027859604</v>
      </c>
      <c r="I58" s="141">
        <f t="shared" si="5"/>
        <v>0.028508053732878666</v>
      </c>
      <c r="J58" s="141">
        <f t="shared" si="6"/>
        <v>4.293094488113068</v>
      </c>
      <c r="K58" s="141">
        <f t="shared" si="7"/>
        <v>0.008708768743639355</v>
      </c>
    </row>
    <row r="59" spans="1:11" ht="14.25">
      <c r="A59" s="136">
        <v>36831</v>
      </c>
      <c r="B59" s="7">
        <v>14649</v>
      </c>
      <c r="C59" s="139">
        <v>111.07</v>
      </c>
      <c r="D59" s="141">
        <f t="shared" si="0"/>
        <v>0.749656121045392</v>
      </c>
      <c r="E59" s="141">
        <f t="shared" si="8"/>
        <v>2.0770149802407785</v>
      </c>
      <c r="F59" s="141">
        <f t="shared" si="2"/>
        <v>0.12144908340042024</v>
      </c>
      <c r="G59" s="141">
        <f t="shared" si="3"/>
        <v>0.6547511130112009</v>
      </c>
      <c r="H59" s="141">
        <f t="shared" si="4"/>
        <v>0.0017913593891178508</v>
      </c>
      <c r="I59" s="141">
        <f t="shared" si="5"/>
        <v>0.2806911604848749</v>
      </c>
      <c r="J59" s="141">
        <f t="shared" si="6"/>
        <v>0.00021755895584909973</v>
      </c>
      <c r="K59" s="141">
        <f t="shared" si="7"/>
        <v>0.18378284973987746</v>
      </c>
    </row>
    <row r="60" spans="1:11" ht="14.25">
      <c r="A60" s="136">
        <v>36861</v>
      </c>
      <c r="B60" s="7">
        <v>13786</v>
      </c>
      <c r="C60" s="139">
        <v>114.9</v>
      </c>
      <c r="D60" s="141">
        <f t="shared" si="0"/>
        <v>-5.891187111748242</v>
      </c>
      <c r="E60" s="141">
        <f t="shared" si="8"/>
        <v>3.4482758620689773</v>
      </c>
      <c r="F60" s="141">
        <f t="shared" si="2"/>
        <v>-1.1104084751099341</v>
      </c>
      <c r="G60" s="141">
        <f t="shared" si="3"/>
        <v>1.092832872012968</v>
      </c>
      <c r="H60" s="141">
        <f t="shared" si="4"/>
        <v>-1.3691414022338828</v>
      </c>
      <c r="I60" s="141">
        <f t="shared" si="5"/>
        <v>1.305152470735847</v>
      </c>
      <c r="J60" s="141">
        <f t="shared" si="6"/>
        <v>1.5203062166644028</v>
      </c>
      <c r="K60" s="141">
        <f t="shared" si="7"/>
        <v>1.4263135230090769</v>
      </c>
    </row>
    <row r="61" spans="1:11" ht="14.25">
      <c r="A61" s="136">
        <v>36892</v>
      </c>
      <c r="B61" s="7">
        <v>13844</v>
      </c>
      <c r="C61" s="139">
        <v>116.38</v>
      </c>
      <c r="D61" s="141">
        <f t="shared" si="0"/>
        <v>0.4207166690845786</v>
      </c>
      <c r="E61" s="141">
        <f t="shared" si="8"/>
        <v>1.288076588337676</v>
      </c>
      <c r="F61" s="141">
        <f t="shared" si="2"/>
        <v>0.06043174930808668</v>
      </c>
      <c r="G61" s="141">
        <f t="shared" si="3"/>
        <v>0.4027060623216865</v>
      </c>
      <c r="H61" s="141">
        <f t="shared" si="4"/>
        <v>0.0002206965263523362</v>
      </c>
      <c r="I61" s="141">
        <f t="shared" si="5"/>
        <v>0.06530771705823703</v>
      </c>
      <c r="J61" s="141">
        <f t="shared" si="6"/>
        <v>1.3337077153689927E-05</v>
      </c>
      <c r="K61" s="141">
        <f t="shared" si="7"/>
        <v>0.026299813575741467</v>
      </c>
    </row>
    <row r="62" spans="1:11" ht="14.25">
      <c r="A62" s="136">
        <v>36923</v>
      </c>
      <c r="B62" s="7">
        <v>12884</v>
      </c>
      <c r="C62" s="139">
        <v>116.44</v>
      </c>
      <c r="D62" s="141">
        <f t="shared" si="0"/>
        <v>-6.934412019647501</v>
      </c>
      <c r="E62" s="141">
        <f t="shared" si="8"/>
        <v>0.05155525004296467</v>
      </c>
      <c r="F62" s="141">
        <f t="shared" si="2"/>
        <v>-1.3039237325814403</v>
      </c>
      <c r="G62" s="141">
        <f t="shared" si="3"/>
        <v>0.007670041020501346</v>
      </c>
      <c r="H62" s="141">
        <f t="shared" si="4"/>
        <v>-2.216953427738169</v>
      </c>
      <c r="I62" s="141">
        <f t="shared" si="5"/>
        <v>4.512249026116335E-07</v>
      </c>
      <c r="J62" s="141">
        <f t="shared" si="6"/>
        <v>2.890738188455572</v>
      </c>
      <c r="K62" s="141">
        <f t="shared" si="7"/>
        <v>3.460913512502954E-09</v>
      </c>
    </row>
    <row r="63" spans="1:11" ht="14.25">
      <c r="A63" s="136">
        <v>36951</v>
      </c>
      <c r="B63" s="7">
        <v>13000</v>
      </c>
      <c r="C63" s="139">
        <v>125.27</v>
      </c>
      <c r="D63" s="141">
        <f t="shared" si="0"/>
        <v>0.9003415088481838</v>
      </c>
      <c r="E63" s="141">
        <f t="shared" si="8"/>
        <v>7.583304706286498</v>
      </c>
      <c r="F63" s="141">
        <f t="shared" si="2"/>
        <v>0.1494007948646052</v>
      </c>
      <c r="G63" s="141">
        <f t="shared" si="3"/>
        <v>2.413865750295578</v>
      </c>
      <c r="H63" s="141">
        <f t="shared" si="4"/>
        <v>0.0033347150092755953</v>
      </c>
      <c r="I63" s="141">
        <f t="shared" si="5"/>
        <v>14.064987095948375</v>
      </c>
      <c r="J63" s="141">
        <f t="shared" si="6"/>
        <v>0.0004982090730327033</v>
      </c>
      <c r="K63" s="141">
        <f t="shared" si="7"/>
        <v>33.950990629259046</v>
      </c>
    </row>
    <row r="64" spans="1:11" ht="14.25">
      <c r="A64" s="136">
        <v>36982</v>
      </c>
      <c r="B64" s="7">
        <v>13934</v>
      </c>
      <c r="C64" s="139">
        <v>124.06</v>
      </c>
      <c r="D64" s="141">
        <f t="shared" si="0"/>
        <v>7.184615384615385</v>
      </c>
      <c r="E64" s="141">
        <f t="shared" si="8"/>
        <v>-0.9659136265666111</v>
      </c>
      <c r="F64" s="141">
        <f t="shared" si="2"/>
        <v>1.3151157503667856</v>
      </c>
      <c r="G64" s="141">
        <f t="shared" si="3"/>
        <v>-0.3173844844177293</v>
      </c>
      <c r="H64" s="141">
        <f t="shared" si="4"/>
        <v>2.274531403141257</v>
      </c>
      <c r="I64" s="141">
        <f t="shared" si="5"/>
        <v>-0.03197106300547964</v>
      </c>
      <c r="J64" s="141">
        <f t="shared" si="6"/>
        <v>2.991272072974932</v>
      </c>
      <c r="K64" s="141">
        <f t="shared" si="7"/>
        <v>0.010147119348280897</v>
      </c>
    </row>
    <row r="65" spans="1:11" ht="14.25">
      <c r="A65" s="136">
        <v>37012</v>
      </c>
      <c r="B65" s="7">
        <v>13262</v>
      </c>
      <c r="C65" s="139">
        <v>119.06</v>
      </c>
      <c r="D65" s="141">
        <f t="shared" si="0"/>
        <v>-4.822735754270131</v>
      </c>
      <c r="E65" s="141">
        <f t="shared" si="8"/>
        <v>-4.030307915524746</v>
      </c>
      <c r="F65" s="141">
        <f t="shared" si="2"/>
        <v>-0.9122137828891426</v>
      </c>
      <c r="G65" s="141">
        <f t="shared" si="3"/>
        <v>-1.2963778022989736</v>
      </c>
      <c r="H65" s="141">
        <f t="shared" si="4"/>
        <v>-0.759084090959558</v>
      </c>
      <c r="I65" s="141">
        <f t="shared" si="5"/>
        <v>-2.17868657936454</v>
      </c>
      <c r="J65" s="141">
        <f t="shared" si="6"/>
        <v>0.6924469701451843</v>
      </c>
      <c r="K65" s="141">
        <f t="shared" si="7"/>
        <v>2.8244009196548703</v>
      </c>
    </row>
    <row r="66" spans="1:11" ht="14.25">
      <c r="A66" s="136">
        <v>37043</v>
      </c>
      <c r="B66" s="7">
        <v>12969</v>
      </c>
      <c r="C66" s="139">
        <v>124.27</v>
      </c>
      <c r="D66" s="141">
        <f t="shared" si="0"/>
        <v>-2.209319861257729</v>
      </c>
      <c r="E66" s="141">
        <f t="shared" si="8"/>
        <v>4.3759449017302146</v>
      </c>
      <c r="F66" s="141">
        <f t="shared" si="2"/>
        <v>-0.4274325573000975</v>
      </c>
      <c r="G66" s="141">
        <f t="shared" si="3"/>
        <v>1.3891987131536119</v>
      </c>
      <c r="H66" s="141">
        <f t="shared" si="4"/>
        <v>-0.0780913259833951</v>
      </c>
      <c r="I66" s="141">
        <f t="shared" si="5"/>
        <v>2.6809771779305502</v>
      </c>
      <c r="J66" s="141">
        <f t="shared" si="6"/>
        <v>0.033378775168038124</v>
      </c>
      <c r="K66" s="141">
        <f t="shared" si="7"/>
        <v>3.7244100455753224</v>
      </c>
    </row>
    <row r="67" spans="1:11" ht="14.25">
      <c r="A67" s="136">
        <v>37073</v>
      </c>
      <c r="B67" s="7">
        <v>11861</v>
      </c>
      <c r="C67" s="139">
        <v>124.79</v>
      </c>
      <c r="D67" s="141">
        <f t="shared" si="0"/>
        <v>-8.54344976482381</v>
      </c>
      <c r="E67" s="141">
        <f t="shared" si="8"/>
        <v>0.4184437112738475</v>
      </c>
      <c r="F67" s="141">
        <f t="shared" si="2"/>
        <v>-1.6023956643590067</v>
      </c>
      <c r="G67" s="141">
        <f t="shared" si="3"/>
        <v>0.12488124757019262</v>
      </c>
      <c r="H67" s="141">
        <f t="shared" si="4"/>
        <v>-4.114426264223448</v>
      </c>
      <c r="I67" s="141">
        <f t="shared" si="5"/>
        <v>0.0019475637664804599</v>
      </c>
      <c r="J67" s="141">
        <f t="shared" si="6"/>
        <v>6.592938807116479</v>
      </c>
      <c r="K67" s="141">
        <f t="shared" si="7"/>
        <v>0.0002432141928805831</v>
      </c>
    </row>
    <row r="68" spans="1:11" ht="14.25">
      <c r="A68" s="136">
        <v>37104</v>
      </c>
      <c r="B68" s="7">
        <v>10714</v>
      </c>
      <c r="C68" s="139">
        <v>118.92</v>
      </c>
      <c r="D68" s="141">
        <f t="shared" si="0"/>
        <v>-9.670348199983138</v>
      </c>
      <c r="E68" s="141">
        <f t="shared" si="8"/>
        <v>-4.703902556294579</v>
      </c>
      <c r="F68" s="141">
        <f t="shared" si="2"/>
        <v>-1.8114321234895947</v>
      </c>
      <c r="G68" s="141">
        <f t="shared" si="3"/>
        <v>-1.5115735604461695</v>
      </c>
      <c r="H68" s="141">
        <f t="shared" si="4"/>
        <v>-5.943827479038891</v>
      </c>
      <c r="I68" s="141">
        <f t="shared" si="5"/>
        <v>-3.4537258461151388</v>
      </c>
      <c r="J68" s="141">
        <f t="shared" si="6"/>
        <v>10.766840032011222</v>
      </c>
      <c r="K68" s="141">
        <f t="shared" si="7"/>
        <v>5.22056067401722</v>
      </c>
    </row>
    <row r="69" spans="1:11" ht="14.25">
      <c r="A69" s="136">
        <v>37135</v>
      </c>
      <c r="B69" s="7">
        <v>9775</v>
      </c>
      <c r="C69" s="139">
        <v>119.29</v>
      </c>
      <c r="D69" s="141">
        <f t="shared" si="0"/>
        <v>-8.764233712899012</v>
      </c>
      <c r="E69" s="141">
        <f t="shared" si="8"/>
        <v>0.3111335351496843</v>
      </c>
      <c r="F69" s="141">
        <f t="shared" si="2"/>
        <v>-1.643350459661377</v>
      </c>
      <c r="G69" s="141">
        <f t="shared" si="3"/>
        <v>0.09059847079281738</v>
      </c>
      <c r="H69" s="141">
        <f t="shared" si="4"/>
        <v>-4.438033456379889</v>
      </c>
      <c r="I69" s="141">
        <f t="shared" si="5"/>
        <v>0.0007436397597863853</v>
      </c>
      <c r="J69" s="141">
        <f t="shared" si="6"/>
        <v>7.293244320534461</v>
      </c>
      <c r="K69" s="141">
        <f t="shared" si="7"/>
        <v>6.737262505738456E-05</v>
      </c>
    </row>
    <row r="70" spans="1:11" ht="14.25">
      <c r="A70" s="136">
        <v>37165</v>
      </c>
      <c r="B70" s="7">
        <v>10366</v>
      </c>
      <c r="C70" s="139">
        <v>121.84</v>
      </c>
      <c r="D70" s="141">
        <f t="shared" si="0"/>
        <v>6.046035805626598</v>
      </c>
      <c r="E70" s="141">
        <f t="shared" si="8"/>
        <v>2.1376477491826615</v>
      </c>
      <c r="F70" s="141">
        <f t="shared" si="2"/>
        <v>1.1039124722323537</v>
      </c>
      <c r="G70" s="141">
        <f t="shared" si="3"/>
        <v>0.6741216867825424</v>
      </c>
      <c r="H70" s="141">
        <f t="shared" si="4"/>
        <v>1.3452528486419713</v>
      </c>
      <c r="I70" s="141">
        <f t="shared" si="5"/>
        <v>0.30634789209739544</v>
      </c>
      <c r="J70" s="141">
        <f t="shared" si="6"/>
        <v>1.485041397921975</v>
      </c>
      <c r="K70" s="141">
        <f t="shared" si="7"/>
        <v>0.2065157577629725</v>
      </c>
    </row>
    <row r="71" spans="1:11" ht="14.25">
      <c r="A71" s="136">
        <v>37196</v>
      </c>
      <c r="B71" s="7">
        <v>10697</v>
      </c>
      <c r="C71" s="139">
        <v>123.98</v>
      </c>
      <c r="D71" s="141">
        <f t="shared" si="0"/>
        <v>3.1931313910862436</v>
      </c>
      <c r="E71" s="141">
        <f t="shared" si="8"/>
        <v>1.756401838476691</v>
      </c>
      <c r="F71" s="141">
        <f t="shared" si="2"/>
        <v>0.5747068060897594</v>
      </c>
      <c r="G71" s="141">
        <f t="shared" si="3"/>
        <v>0.5523236530257337</v>
      </c>
      <c r="H71" s="141">
        <f t="shared" si="4"/>
        <v>0.18981871155068042</v>
      </c>
      <c r="I71" s="141">
        <f t="shared" si="5"/>
        <v>0.168492636616684</v>
      </c>
      <c r="J71" s="141">
        <f t="shared" si="6"/>
        <v>0.10909010545136487</v>
      </c>
      <c r="K71" s="141">
        <f t="shared" si="7"/>
        <v>0.09306246856406442</v>
      </c>
    </row>
    <row r="72" spans="1:11" ht="14.25">
      <c r="A72" s="136">
        <v>37226</v>
      </c>
      <c r="B72" s="7">
        <v>10543</v>
      </c>
      <c r="C72" s="139">
        <v>131.47</v>
      </c>
      <c r="D72" s="141">
        <f t="shared" si="0"/>
        <v>-1.4396559783116762</v>
      </c>
      <c r="E72" s="141">
        <f t="shared" si="8"/>
        <v>6.041296983384412</v>
      </c>
      <c r="F72" s="141">
        <f t="shared" si="2"/>
        <v>-0.28466209299557044</v>
      </c>
      <c r="G72" s="141">
        <f t="shared" si="3"/>
        <v>1.9212348697714958</v>
      </c>
      <c r="H72" s="141">
        <f t="shared" si="4"/>
        <v>-0.023066883096990832</v>
      </c>
      <c r="I72" s="141">
        <f t="shared" si="5"/>
        <v>7.091553457103294</v>
      </c>
      <c r="J72" s="141">
        <f t="shared" si="6"/>
        <v>0.006566267221273556</v>
      </c>
      <c r="K72" s="141">
        <f t="shared" si="7"/>
        <v>13.624539782635448</v>
      </c>
    </row>
    <row r="73" spans="1:11" ht="14.25">
      <c r="A73" s="136">
        <v>37257</v>
      </c>
      <c r="B73" s="7">
        <v>9998</v>
      </c>
      <c r="C73" s="139">
        <v>132.94</v>
      </c>
      <c r="D73" s="141">
        <f t="shared" si="0"/>
        <v>-5.169306648961396</v>
      </c>
      <c r="E73" s="141">
        <f t="shared" si="8"/>
        <v>1.1181258081691632</v>
      </c>
      <c r="F73" s="141">
        <f t="shared" si="2"/>
        <v>-0.9765016995315499</v>
      </c>
      <c r="G73" s="141">
        <f t="shared" si="3"/>
        <v>0.3484112613056442</v>
      </c>
      <c r="H73" s="141">
        <f t="shared" si="4"/>
        <v>-0.9311486339098616</v>
      </c>
      <c r="I73" s="141">
        <f t="shared" si="5"/>
        <v>0.04229378481487467</v>
      </c>
      <c r="J73" s="141">
        <f t="shared" si="6"/>
        <v>0.9092682235294608</v>
      </c>
      <c r="K73" s="141">
        <f t="shared" si="7"/>
        <v>0.014735630912739986</v>
      </c>
    </row>
    <row r="74" spans="1:11" ht="14.25">
      <c r="A74" s="136">
        <v>37288</v>
      </c>
      <c r="B74" s="7">
        <v>10588</v>
      </c>
      <c r="C74" s="139">
        <v>133.89</v>
      </c>
      <c r="D74" s="141">
        <f t="shared" si="0"/>
        <v>5.901180236047209</v>
      </c>
      <c r="E74" s="141">
        <f t="shared" si="8"/>
        <v>0.7146080938769285</v>
      </c>
      <c r="F74" s="141">
        <f t="shared" si="2"/>
        <v>1.0770421754908919</v>
      </c>
      <c r="G74" s="141">
        <f t="shared" si="3"/>
        <v>0.21949797251566897</v>
      </c>
      <c r="H74" s="141">
        <f t="shared" si="4"/>
        <v>1.2493903004722118</v>
      </c>
      <c r="I74" s="141">
        <f t="shared" si="5"/>
        <v>0.010575271823601061</v>
      </c>
      <c r="J74" s="141">
        <f t="shared" si="6"/>
        <v>1.34564604725781</v>
      </c>
      <c r="K74" s="141">
        <f t="shared" si="7"/>
        <v>0.0023212507240825144</v>
      </c>
    </row>
    <row r="75" spans="1:11" ht="14.25">
      <c r="A75" s="136">
        <v>37316</v>
      </c>
      <c r="B75" s="7">
        <v>11025</v>
      </c>
      <c r="C75" s="139">
        <v>132.71</v>
      </c>
      <c r="D75" s="141">
        <f t="shared" si="0"/>
        <v>4.127313940309785</v>
      </c>
      <c r="E75" s="141">
        <f t="shared" si="8"/>
        <v>-0.881320486966897</v>
      </c>
      <c r="F75" s="141">
        <f t="shared" si="2"/>
        <v>0.7479950157265629</v>
      </c>
      <c r="G75" s="141">
        <f t="shared" si="3"/>
        <v>-0.29035920287836453</v>
      </c>
      <c r="H75" s="141">
        <f t="shared" si="4"/>
        <v>0.4185006258929721</v>
      </c>
      <c r="I75" s="141">
        <f t="shared" si="5"/>
        <v>-0.024479739185793943</v>
      </c>
      <c r="J75" s="141">
        <f t="shared" si="6"/>
        <v>0.31303638224639013</v>
      </c>
      <c r="K75" s="141">
        <f t="shared" si="7"/>
        <v>0.007107917556657394</v>
      </c>
    </row>
    <row r="76" spans="1:11" ht="14.25">
      <c r="A76" s="136">
        <v>37347</v>
      </c>
      <c r="B76" s="7">
        <v>11493</v>
      </c>
      <c r="C76" s="139">
        <v>127.97</v>
      </c>
      <c r="D76" s="141">
        <f t="shared" si="0"/>
        <v>4.244897959183674</v>
      </c>
      <c r="E76" s="141">
        <f t="shared" si="8"/>
        <v>-3.57169768668526</v>
      </c>
      <c r="F76" s="141">
        <f t="shared" si="2"/>
        <v>0.7698065172681964</v>
      </c>
      <c r="G76" s="141">
        <f t="shared" si="3"/>
        <v>-1.1498639051925759</v>
      </c>
      <c r="H76" s="141">
        <f t="shared" si="4"/>
        <v>0.4561889387338587</v>
      </c>
      <c r="I76" s="141">
        <f t="shared" si="5"/>
        <v>-1.5203351077492224</v>
      </c>
      <c r="J76" s="141">
        <f t="shared" si="6"/>
        <v>0.3511772181429863</v>
      </c>
      <c r="K76" s="141">
        <f t="shared" si="7"/>
        <v>1.7481784641978966</v>
      </c>
    </row>
    <row r="77" spans="1:11" ht="14.25">
      <c r="A77" s="136">
        <v>37377</v>
      </c>
      <c r="B77" s="7">
        <v>11764</v>
      </c>
      <c r="C77" s="139">
        <v>123.96</v>
      </c>
      <c r="D77" s="141">
        <f t="shared" si="0"/>
        <v>2.3579570173148876</v>
      </c>
      <c r="E77" s="141">
        <f t="shared" si="8"/>
        <v>-3.133546925060565</v>
      </c>
      <c r="F77" s="141">
        <f t="shared" si="2"/>
        <v>0.4197843317985541</v>
      </c>
      <c r="G77" s="141">
        <f t="shared" si="3"/>
        <v>-1.00988626935088</v>
      </c>
      <c r="H77" s="141">
        <f t="shared" si="4"/>
        <v>0.07397392698385764</v>
      </c>
      <c r="I77" s="141">
        <f t="shared" si="5"/>
        <v>-1.029952989285049</v>
      </c>
      <c r="J77" s="141">
        <f t="shared" si="6"/>
        <v>0.031053095509433713</v>
      </c>
      <c r="K77" s="141">
        <f t="shared" si="7"/>
        <v>1.0401353819558652</v>
      </c>
    </row>
    <row r="78" spans="1:11" ht="14.25">
      <c r="A78" s="136">
        <v>37408</v>
      </c>
      <c r="B78" s="7">
        <v>10622</v>
      </c>
      <c r="C78" s="139">
        <v>119.22</v>
      </c>
      <c r="D78" s="141">
        <f t="shared" si="0"/>
        <v>-9.707582454947298</v>
      </c>
      <c r="E78" s="141">
        <f t="shared" si="8"/>
        <v>-3.823814133591477</v>
      </c>
      <c r="F78" s="141">
        <f t="shared" si="2"/>
        <v>-1.8183389720335568</v>
      </c>
      <c r="G78" s="141">
        <f t="shared" si="3"/>
        <v>-1.230408474061703</v>
      </c>
      <c r="H78" s="141">
        <f t="shared" si="4"/>
        <v>-6.012077092524985</v>
      </c>
      <c r="I78" s="141">
        <f t="shared" si="5"/>
        <v>-1.8627215569724136</v>
      </c>
      <c r="J78" s="141">
        <f t="shared" si="6"/>
        <v>10.931994080208375</v>
      </c>
      <c r="K78" s="141">
        <f t="shared" si="7"/>
        <v>2.291908388516267</v>
      </c>
    </row>
    <row r="79" spans="1:11" ht="14.25">
      <c r="A79" s="136">
        <v>37438</v>
      </c>
      <c r="B79" s="7">
        <v>9878</v>
      </c>
      <c r="C79" s="139">
        <v>119.82</v>
      </c>
      <c r="D79" s="141">
        <f aca="true" t="shared" si="9" ref="D79:D132">(B79-B78)/B78*100</f>
        <v>-7.004330634532104</v>
      </c>
      <c r="E79" s="141">
        <f aca="true" t="shared" si="10" ref="E79:E110">(C79-C78)/C78*100</f>
        <v>0.5032712632108659</v>
      </c>
      <c r="F79" s="141">
        <f aca="true" t="shared" si="11" ref="F79:F132">(D79-D$133)/D$135</f>
        <v>-1.3168934370612644</v>
      </c>
      <c r="G79" s="141">
        <f aca="true" t="shared" si="12" ref="G79:G132">(E79-E$133)/E$135</f>
        <v>0.15198141768139586</v>
      </c>
      <c r="H79" s="141">
        <f aca="true" t="shared" si="13" ref="H79:H132">F79^3</f>
        <v>-2.2837675611298685</v>
      </c>
      <c r="I79" s="141">
        <f aca="true" t="shared" si="14" ref="I79:I132">G79^3</f>
        <v>0.0035105201797844634</v>
      </c>
      <c r="J79" s="141">
        <f aca="true" t="shared" si="15" ref="J79:J132">F79^4</f>
        <v>3.007478513025334</v>
      </c>
      <c r="K79" s="141">
        <f aca="true" t="shared" si="16" ref="K79:K132">G79^4</f>
        <v>0.0005335338337227914</v>
      </c>
    </row>
    <row r="80" spans="1:11" ht="14.25">
      <c r="A80" s="136">
        <v>37469</v>
      </c>
      <c r="B80" s="7">
        <v>9619</v>
      </c>
      <c r="C80" s="139">
        <v>117.97</v>
      </c>
      <c r="D80" s="141">
        <f t="shared" si="9"/>
        <v>-2.621988256732132</v>
      </c>
      <c r="E80" s="141">
        <f t="shared" si="10"/>
        <v>-1.5439826406276034</v>
      </c>
      <c r="F80" s="141">
        <f t="shared" si="11"/>
        <v>-0.5039813726091489</v>
      </c>
      <c r="G80" s="141">
        <f t="shared" si="12"/>
        <v>-0.502062319146471</v>
      </c>
      <c r="H80" s="141">
        <f t="shared" si="13"/>
        <v>-0.12800986955868351</v>
      </c>
      <c r="I80" s="141">
        <f t="shared" si="14"/>
        <v>-0.12655312787161999</v>
      </c>
      <c r="J80" s="141">
        <f t="shared" si="15"/>
        <v>0.06451458976770341</v>
      </c>
      <c r="K80" s="141">
        <f t="shared" si="16"/>
        <v>0.06353755687446544</v>
      </c>
    </row>
    <row r="81" spans="1:11" ht="14.25">
      <c r="A81" s="136">
        <v>37500</v>
      </c>
      <c r="B81" s="7">
        <v>9383</v>
      </c>
      <c r="C81" s="139">
        <v>121.79</v>
      </c>
      <c r="D81" s="141">
        <f t="shared" si="9"/>
        <v>-2.453477492462834</v>
      </c>
      <c r="E81" s="141">
        <f t="shared" si="10"/>
        <v>3.2381113842502396</v>
      </c>
      <c r="F81" s="141">
        <f t="shared" si="11"/>
        <v>-0.47272310443765836</v>
      </c>
      <c r="G81" s="141">
        <f t="shared" si="12"/>
        <v>1.0256908530561</v>
      </c>
      <c r="H81" s="141">
        <f t="shared" si="13"/>
        <v>-0.10563807707333403</v>
      </c>
      <c r="I81" s="141">
        <f t="shared" si="14"/>
        <v>1.0790695754356052</v>
      </c>
      <c r="J81" s="141">
        <f t="shared" si="15"/>
        <v>0.04993755974093109</v>
      </c>
      <c r="K81" s="141">
        <f t="shared" si="16"/>
        <v>1.1067917933354294</v>
      </c>
    </row>
    <row r="82" spans="1:11" ht="14.25">
      <c r="A82" s="136">
        <v>37530</v>
      </c>
      <c r="B82" s="7">
        <v>8640</v>
      </c>
      <c r="C82" s="139">
        <v>122.48</v>
      </c>
      <c r="D82" s="141">
        <f t="shared" si="9"/>
        <v>-7.918576148353405</v>
      </c>
      <c r="E82" s="141">
        <f t="shared" si="10"/>
        <v>0.5665489777485817</v>
      </c>
      <c r="F82" s="141">
        <f t="shared" si="11"/>
        <v>-1.4864833832556699</v>
      </c>
      <c r="G82" s="141">
        <f t="shared" si="12"/>
        <v>0.17219698195340816</v>
      </c>
      <c r="H82" s="141">
        <f t="shared" si="13"/>
        <v>-3.284582512681338</v>
      </c>
      <c r="I82" s="141">
        <f t="shared" si="14"/>
        <v>0.005105950571747377</v>
      </c>
      <c r="J82" s="141">
        <f t="shared" si="15"/>
        <v>4.882477326032965</v>
      </c>
      <c r="K82" s="141">
        <f t="shared" si="16"/>
        <v>0.0008792292784581771</v>
      </c>
    </row>
    <row r="83" spans="1:11" ht="14.25">
      <c r="A83" s="136">
        <v>37561</v>
      </c>
      <c r="B83" s="7">
        <v>9216</v>
      </c>
      <c r="C83" s="139">
        <v>122.44</v>
      </c>
      <c r="D83" s="141">
        <f t="shared" si="9"/>
        <v>6.666666666666667</v>
      </c>
      <c r="E83" s="141">
        <f t="shared" si="10"/>
        <v>-0.032658393207059315</v>
      </c>
      <c r="F83" s="141">
        <f t="shared" si="11"/>
        <v>1.2190377342535412</v>
      </c>
      <c r="G83" s="141">
        <f t="shared" si="12"/>
        <v>-0.01923400142380135</v>
      </c>
      <c r="H83" s="141">
        <f t="shared" si="13"/>
        <v>1.8115546790945396</v>
      </c>
      <c r="I83" s="141">
        <f t="shared" si="14"/>
        <v>-7.115557485096187E-06</v>
      </c>
      <c r="J83" s="141">
        <f t="shared" si="15"/>
        <v>2.2083535114798085</v>
      </c>
      <c r="K83" s="141">
        <f t="shared" si="16"/>
        <v>1.368606427994804E-07</v>
      </c>
    </row>
    <row r="84" spans="1:11" ht="14.25">
      <c r="A84" s="136">
        <v>37591</v>
      </c>
      <c r="B84" s="7">
        <v>8579</v>
      </c>
      <c r="C84" s="139">
        <v>119.37</v>
      </c>
      <c r="D84" s="141">
        <f t="shared" si="9"/>
        <v>-6.911892361111111</v>
      </c>
      <c r="E84" s="141">
        <f t="shared" si="10"/>
        <v>-2.507350539039524</v>
      </c>
      <c r="F84" s="141">
        <f t="shared" si="11"/>
        <v>-1.2997463998827652</v>
      </c>
      <c r="G84" s="141">
        <f t="shared" si="12"/>
        <v>-0.8098330060339026</v>
      </c>
      <c r="H84" s="141">
        <f t="shared" si="13"/>
        <v>-2.1957144982100854</v>
      </c>
      <c r="I84" s="141">
        <f t="shared" si="14"/>
        <v>-0.5311123735372465</v>
      </c>
      <c r="J84" s="141">
        <f t="shared" si="15"/>
        <v>2.853872014218951</v>
      </c>
      <c r="K84" s="141">
        <f t="shared" si="16"/>
        <v>0.4301123300034693</v>
      </c>
    </row>
    <row r="85" spans="1:11" ht="14.25">
      <c r="A85" s="136">
        <v>37622</v>
      </c>
      <c r="B85" s="7">
        <v>8340</v>
      </c>
      <c r="C85" s="139">
        <v>119.21</v>
      </c>
      <c r="D85" s="141">
        <f t="shared" si="9"/>
        <v>-2.7858724793099428</v>
      </c>
      <c r="E85" s="141">
        <f t="shared" si="10"/>
        <v>-0.13403702772891915</v>
      </c>
      <c r="F85" s="141">
        <f t="shared" si="11"/>
        <v>-0.5343814304370677</v>
      </c>
      <c r="G85" s="141">
        <f t="shared" si="12"/>
        <v>-0.051621806782415736</v>
      </c>
      <c r="H85" s="141">
        <f t="shared" si="13"/>
        <v>-0.15259983866229507</v>
      </c>
      <c r="I85" s="141">
        <f t="shared" si="14"/>
        <v>-0.00013756235522307197</v>
      </c>
      <c r="J85" s="141">
        <f t="shared" si="15"/>
        <v>0.08154652006882297</v>
      </c>
      <c r="K85" s="141">
        <f t="shared" si="16"/>
        <v>7.10121732185946E-06</v>
      </c>
    </row>
    <row r="86" spans="1:11" ht="14.25">
      <c r="A86" s="136">
        <v>37653</v>
      </c>
      <c r="B86" s="7">
        <v>8363</v>
      </c>
      <c r="C86" s="139">
        <v>117.75</v>
      </c>
      <c r="D86" s="141">
        <f t="shared" si="9"/>
        <v>0.27577937649880097</v>
      </c>
      <c r="E86" s="141">
        <f t="shared" si="10"/>
        <v>-1.224729469004273</v>
      </c>
      <c r="F86" s="141">
        <f t="shared" si="11"/>
        <v>0.0335462931810477</v>
      </c>
      <c r="G86" s="141">
        <f t="shared" si="12"/>
        <v>-0.40006933382541515</v>
      </c>
      <c r="H86" s="141">
        <f t="shared" si="13"/>
        <v>3.775144804389181E-05</v>
      </c>
      <c r="I86" s="141">
        <f t="shared" si="14"/>
        <v>-0.06403328600514778</v>
      </c>
      <c r="J86" s="141">
        <f t="shared" si="15"/>
        <v>1.2664211440894845E-06</v>
      </c>
      <c r="K86" s="141">
        <f t="shared" si="16"/>
        <v>0.02561775407473175</v>
      </c>
    </row>
    <row r="87" spans="1:11" ht="14.25">
      <c r="A87" s="136">
        <v>37681</v>
      </c>
      <c r="B87" s="7">
        <v>7973</v>
      </c>
      <c r="C87" s="139">
        <v>119.02</v>
      </c>
      <c r="D87" s="141">
        <f t="shared" si="9"/>
        <v>-4.663398302044721</v>
      </c>
      <c r="E87" s="141">
        <f t="shared" si="10"/>
        <v>1.0785562632696357</v>
      </c>
      <c r="F87" s="141">
        <f t="shared" si="11"/>
        <v>-0.8826571380479598</v>
      </c>
      <c r="G87" s="141">
        <f t="shared" si="12"/>
        <v>0.33576983321402293</v>
      </c>
      <c r="H87" s="141">
        <f t="shared" si="13"/>
        <v>-0.6876637212835109</v>
      </c>
      <c r="I87" s="141">
        <f t="shared" si="14"/>
        <v>0.03785515465996087</v>
      </c>
      <c r="J87" s="141">
        <f t="shared" si="15"/>
        <v>0.6069712921675137</v>
      </c>
      <c r="K87" s="141">
        <f t="shared" si="16"/>
        <v>0.012710618966466105</v>
      </c>
    </row>
    <row r="88" spans="1:11" ht="14.25">
      <c r="A88" s="136">
        <v>37712</v>
      </c>
      <c r="B88" s="7">
        <v>7831</v>
      </c>
      <c r="C88" s="139">
        <v>119.46</v>
      </c>
      <c r="D88" s="141">
        <f t="shared" si="9"/>
        <v>-1.7810109118274176</v>
      </c>
      <c r="E88" s="141">
        <f t="shared" si="10"/>
        <v>0.3696857670979648</v>
      </c>
      <c r="F88" s="141">
        <f t="shared" si="11"/>
        <v>-0.34798246365417296</v>
      </c>
      <c r="G88" s="141">
        <f t="shared" si="12"/>
        <v>0.10930436775619032</v>
      </c>
      <c r="H88" s="141">
        <f t="shared" si="13"/>
        <v>-0.04213782115617395</v>
      </c>
      <c r="I88" s="141">
        <f t="shared" si="14"/>
        <v>0.0013059079013224783</v>
      </c>
      <c r="J88" s="141">
        <f t="shared" si="15"/>
        <v>0.01466322281894434</v>
      </c>
      <c r="K88" s="141">
        <f t="shared" si="16"/>
        <v>0.00014274143750186687</v>
      </c>
    </row>
    <row r="89" spans="1:11" ht="14.25">
      <c r="A89" s="136">
        <v>37742</v>
      </c>
      <c r="B89" s="7">
        <v>8425</v>
      </c>
      <c r="C89" s="139">
        <v>118.63</v>
      </c>
      <c r="D89" s="141">
        <f t="shared" si="9"/>
        <v>7.585238156046483</v>
      </c>
      <c r="E89" s="141">
        <f t="shared" si="10"/>
        <v>-0.694793236229699</v>
      </c>
      <c r="F89" s="141">
        <f t="shared" si="11"/>
        <v>1.389430136627513</v>
      </c>
      <c r="G89" s="141">
        <f t="shared" si="12"/>
        <v>-0.23076865582230616</v>
      </c>
      <c r="H89" s="141">
        <f t="shared" si="13"/>
        <v>2.682317254932572</v>
      </c>
      <c r="I89" s="141">
        <f t="shared" si="14"/>
        <v>-0.012289393807069754</v>
      </c>
      <c r="J89" s="141">
        <f t="shared" si="15"/>
        <v>3.726892429999299</v>
      </c>
      <c r="K89" s="141">
        <f t="shared" si="16"/>
        <v>0.0028360068897284605</v>
      </c>
    </row>
    <row r="90" spans="1:11" ht="14.25">
      <c r="A90" s="136">
        <v>37773</v>
      </c>
      <c r="B90" s="7">
        <v>9083</v>
      </c>
      <c r="C90" s="139">
        <v>119.82</v>
      </c>
      <c r="D90" s="141">
        <f t="shared" si="9"/>
        <v>7.810089020771513</v>
      </c>
      <c r="E90" s="141">
        <f t="shared" si="10"/>
        <v>1.0031189412458887</v>
      </c>
      <c r="F90" s="141">
        <f t="shared" si="11"/>
        <v>1.4311393334176619</v>
      </c>
      <c r="G90" s="141">
        <f t="shared" si="12"/>
        <v>0.31166959440134284</v>
      </c>
      <c r="H90" s="141">
        <f t="shared" si="13"/>
        <v>2.931202038962208</v>
      </c>
      <c r="I90" s="141">
        <f t="shared" si="14"/>
        <v>0.03027494113725989</v>
      </c>
      <c r="J90" s="141">
        <f t="shared" si="15"/>
        <v>4.1949585321528655</v>
      </c>
      <c r="K90" s="141">
        <f t="shared" si="16"/>
        <v>0.00943577862477432</v>
      </c>
    </row>
    <row r="91" spans="1:11" ht="14.25">
      <c r="A91" s="136">
        <v>37803</v>
      </c>
      <c r="B91" s="7">
        <v>9563</v>
      </c>
      <c r="C91" s="139">
        <v>120.11</v>
      </c>
      <c r="D91" s="141">
        <f t="shared" si="9"/>
        <v>5.2845975999119235</v>
      </c>
      <c r="E91" s="141">
        <f t="shared" si="10"/>
        <v>0.24202971123352218</v>
      </c>
      <c r="F91" s="141">
        <f t="shared" si="11"/>
        <v>0.9626678476918646</v>
      </c>
      <c r="G91" s="141">
        <f t="shared" si="12"/>
        <v>0.06852161792250155</v>
      </c>
      <c r="H91" s="141">
        <f t="shared" si="13"/>
        <v>0.8921325824312009</v>
      </c>
      <c r="I91" s="141">
        <f t="shared" si="14"/>
        <v>0.0003217235311379313</v>
      </c>
      <c r="J91" s="141">
        <f t="shared" si="15"/>
        <v>0.8588273529848292</v>
      </c>
      <c r="K91" s="141">
        <f t="shared" si="16"/>
        <v>2.204501687731136E-05</v>
      </c>
    </row>
    <row r="92" spans="1:11" ht="14.25">
      <c r="A92" s="136">
        <v>37834</v>
      </c>
      <c r="B92" s="7">
        <v>10344</v>
      </c>
      <c r="C92" s="139">
        <v>117.13</v>
      </c>
      <c r="D92" s="141">
        <f t="shared" si="9"/>
        <v>8.166893234340689</v>
      </c>
      <c r="E92" s="141">
        <f t="shared" si="10"/>
        <v>-2.481059029223215</v>
      </c>
      <c r="F92" s="141">
        <f t="shared" si="11"/>
        <v>1.4973255016474805</v>
      </c>
      <c r="G92" s="141">
        <f t="shared" si="12"/>
        <v>-0.8014335606622933</v>
      </c>
      <c r="H92" s="141">
        <f t="shared" si="13"/>
        <v>3.3569793052264325</v>
      </c>
      <c r="I92" s="141">
        <f t="shared" si="14"/>
        <v>-0.5147573716485221</v>
      </c>
      <c r="J92" s="141">
        <f t="shared" si="15"/>
        <v>5.026490722218379</v>
      </c>
      <c r="K92" s="141">
        <f t="shared" si="16"/>
        <v>0.41254383323743854</v>
      </c>
    </row>
    <row r="93" spans="1:11" ht="14.25">
      <c r="A93" s="136">
        <v>37865</v>
      </c>
      <c r="B93" s="7">
        <v>10219</v>
      </c>
      <c r="C93" s="139">
        <v>110.48</v>
      </c>
      <c r="D93" s="141">
        <f t="shared" si="9"/>
        <v>-1.208430007733952</v>
      </c>
      <c r="E93" s="141">
        <f t="shared" si="10"/>
        <v>-5.677452403312552</v>
      </c>
      <c r="F93" s="141">
        <f t="shared" si="11"/>
        <v>-0.24177033217617847</v>
      </c>
      <c r="G93" s="141">
        <f t="shared" si="12"/>
        <v>-1.8225971119157645</v>
      </c>
      <c r="H93" s="141">
        <f t="shared" si="13"/>
        <v>-0.014132175483129337</v>
      </c>
      <c r="I93" s="141">
        <f t="shared" si="14"/>
        <v>-6.054412865693884</v>
      </c>
      <c r="J93" s="141">
        <f t="shared" si="15"/>
        <v>0.0034167407609282255</v>
      </c>
      <c r="K93" s="141">
        <f t="shared" si="16"/>
        <v>11.03475540335932</v>
      </c>
    </row>
    <row r="94" spans="1:11" ht="14.25">
      <c r="A94" s="136">
        <v>37895</v>
      </c>
      <c r="B94" s="7">
        <v>10560</v>
      </c>
      <c r="C94" s="139">
        <v>108.99</v>
      </c>
      <c r="D94" s="141">
        <f t="shared" si="9"/>
        <v>3.3369214208826694</v>
      </c>
      <c r="E94" s="141">
        <f t="shared" si="10"/>
        <v>-1.3486603910210073</v>
      </c>
      <c r="F94" s="141">
        <f t="shared" si="11"/>
        <v>0.6013794482278035</v>
      </c>
      <c r="G94" s="141">
        <f t="shared" si="12"/>
        <v>-0.43966200144342416</v>
      </c>
      <c r="H94" s="141">
        <f t="shared" si="13"/>
        <v>0.21749323189029243</v>
      </c>
      <c r="I94" s="141">
        <f t="shared" si="14"/>
        <v>-0.08498784120051878</v>
      </c>
      <c r="J94" s="141">
        <f t="shared" si="15"/>
        <v>0.13079595978746578</v>
      </c>
      <c r="K94" s="141">
        <f t="shared" si="16"/>
        <v>0.037365924360575994</v>
      </c>
    </row>
    <row r="95" spans="1:11" ht="14.25">
      <c r="A95" s="136">
        <v>37926</v>
      </c>
      <c r="B95" s="7">
        <v>10101</v>
      </c>
      <c r="C95" s="139">
        <v>109.34</v>
      </c>
      <c r="D95" s="141">
        <f t="shared" si="9"/>
        <v>-4.346590909090909</v>
      </c>
      <c r="E95" s="141">
        <f t="shared" si="10"/>
        <v>0.321130378933855</v>
      </c>
      <c r="F95" s="141">
        <f t="shared" si="11"/>
        <v>-0.8238902664442252</v>
      </c>
      <c r="G95" s="141">
        <f t="shared" si="12"/>
        <v>0.09379219925650448</v>
      </c>
      <c r="H95" s="141">
        <f t="shared" si="13"/>
        <v>-0.559252734412854</v>
      </c>
      <c r="I95" s="141">
        <f t="shared" si="14"/>
        <v>0.0008250877860023631</v>
      </c>
      <c r="J95" s="141">
        <f t="shared" si="15"/>
        <v>0.46076288436506774</v>
      </c>
      <c r="K95" s="141">
        <f t="shared" si="16"/>
        <v>7.738679802884176E-05</v>
      </c>
    </row>
    <row r="96" spans="1:11" ht="14.25">
      <c r="A96" s="136">
        <v>37956</v>
      </c>
      <c r="B96" s="7">
        <v>10677</v>
      </c>
      <c r="C96" s="139">
        <v>106.97</v>
      </c>
      <c r="D96" s="141">
        <f t="shared" si="9"/>
        <v>5.702405702405702</v>
      </c>
      <c r="E96" s="141">
        <f t="shared" si="10"/>
        <v>-2.1675507591000587</v>
      </c>
      <c r="F96" s="141">
        <f t="shared" si="11"/>
        <v>1.0401700640553304</v>
      </c>
      <c r="G96" s="141">
        <f t="shared" si="12"/>
        <v>-0.7012759201598928</v>
      </c>
      <c r="H96" s="141">
        <f t="shared" si="13"/>
        <v>1.1254159140876174</v>
      </c>
      <c r="I96" s="141">
        <f t="shared" si="14"/>
        <v>-0.34487902345393934</v>
      </c>
      <c r="J96" s="141">
        <f t="shared" si="15"/>
        <v>1.1706239434454053</v>
      </c>
      <c r="K96" s="141">
        <f t="shared" si="16"/>
        <v>0.24185535451650655</v>
      </c>
    </row>
    <row r="97" spans="1:11" ht="14.25">
      <c r="A97" s="136">
        <v>37987</v>
      </c>
      <c r="B97" s="7">
        <v>10784</v>
      </c>
      <c r="C97" s="139">
        <v>105.88</v>
      </c>
      <c r="D97" s="141">
        <f t="shared" si="9"/>
        <v>1.0021541631544442</v>
      </c>
      <c r="E97" s="141">
        <f t="shared" si="10"/>
        <v>-1.0189772833504753</v>
      </c>
      <c r="F97" s="141">
        <f t="shared" si="11"/>
        <v>0.16828675307241675</v>
      </c>
      <c r="G97" s="141">
        <f t="shared" si="12"/>
        <v>-0.33433692607999627</v>
      </c>
      <c r="H97" s="141">
        <f t="shared" si="13"/>
        <v>0.004765953422298177</v>
      </c>
      <c r="I97" s="141">
        <f t="shared" si="14"/>
        <v>-0.03737257616180951</v>
      </c>
      <c r="J97" s="141">
        <f t="shared" si="15"/>
        <v>0.0008020468267329328</v>
      </c>
      <c r="K97" s="141">
        <f t="shared" si="16"/>
        <v>0.012495032233629936</v>
      </c>
    </row>
    <row r="98" spans="1:11" ht="14.25">
      <c r="A98" s="136">
        <v>38018</v>
      </c>
      <c r="B98" s="7">
        <v>11042</v>
      </c>
      <c r="C98" s="139">
        <v>109.08</v>
      </c>
      <c r="D98" s="141">
        <f t="shared" si="9"/>
        <v>2.392433234421365</v>
      </c>
      <c r="E98" s="141">
        <f t="shared" si="10"/>
        <v>3.0222893842085408</v>
      </c>
      <c r="F98" s="141">
        <f t="shared" si="11"/>
        <v>0.42617957215323304</v>
      </c>
      <c r="G98" s="141">
        <f t="shared" si="12"/>
        <v>0.9567414046597499</v>
      </c>
      <c r="H98" s="141">
        <f t="shared" si="13"/>
        <v>0.07740658132462107</v>
      </c>
      <c r="I98" s="141">
        <f t="shared" si="14"/>
        <v>0.8757571821196092</v>
      </c>
      <c r="J98" s="141">
        <f t="shared" si="15"/>
        <v>0.03298910371077145</v>
      </c>
      <c r="K98" s="141">
        <f t="shared" si="16"/>
        <v>0.8378731565619794</v>
      </c>
    </row>
    <row r="99" spans="1:11" ht="14.25">
      <c r="A99" s="136">
        <v>38047</v>
      </c>
      <c r="B99" s="7">
        <v>11715</v>
      </c>
      <c r="C99" s="139">
        <v>103.95</v>
      </c>
      <c r="D99" s="141">
        <f t="shared" si="9"/>
        <v>6.094910342329288</v>
      </c>
      <c r="E99" s="141">
        <f t="shared" si="10"/>
        <v>-4.702970297029699</v>
      </c>
      <c r="F99" s="141">
        <f t="shared" si="11"/>
        <v>1.112978559978348</v>
      </c>
      <c r="G99" s="141">
        <f t="shared" si="12"/>
        <v>-1.5112757281488902</v>
      </c>
      <c r="H99" s="141">
        <f t="shared" si="13"/>
        <v>1.3786702208322978</v>
      </c>
      <c r="I99" s="141">
        <f t="shared" si="14"/>
        <v>-3.4516847378279425</v>
      </c>
      <c r="J99" s="141">
        <f t="shared" si="15"/>
        <v>1.5344303970669617</v>
      </c>
      <c r="K99" s="141">
        <f t="shared" si="16"/>
        <v>5.2164473655013355</v>
      </c>
    </row>
    <row r="100" spans="1:11" ht="14.25">
      <c r="A100" s="136">
        <v>38078</v>
      </c>
      <c r="B100" s="7">
        <v>11762</v>
      </c>
      <c r="C100" s="139">
        <v>110.44</v>
      </c>
      <c r="D100" s="141">
        <f t="shared" si="9"/>
        <v>0.401195049082373</v>
      </c>
      <c r="E100" s="141">
        <f t="shared" si="10"/>
        <v>6.243386243386238</v>
      </c>
      <c r="F100" s="141">
        <f t="shared" si="11"/>
        <v>0.05681054424254148</v>
      </c>
      <c r="G100" s="141">
        <f t="shared" si="12"/>
        <v>1.9857970691824007</v>
      </c>
      <c r="H100" s="141">
        <f t="shared" si="13"/>
        <v>0.00018335250571759442</v>
      </c>
      <c r="I100" s="141">
        <f t="shared" si="14"/>
        <v>7.83077230459039</v>
      </c>
      <c r="J100" s="141">
        <f t="shared" si="15"/>
        <v>1.0416355638050237E-05</v>
      </c>
      <c r="K100" s="141">
        <f t="shared" si="16"/>
        <v>15.550324691890308</v>
      </c>
    </row>
    <row r="101" spans="1:11" ht="14.25">
      <c r="A101" s="136">
        <v>38108</v>
      </c>
      <c r="B101" s="7">
        <v>11236</v>
      </c>
      <c r="C101" s="139">
        <v>109.56</v>
      </c>
      <c r="D101" s="141">
        <f t="shared" si="9"/>
        <v>-4.472028566570311</v>
      </c>
      <c r="E101" s="141">
        <f t="shared" si="10"/>
        <v>-0.7968127490039799</v>
      </c>
      <c r="F101" s="141">
        <f t="shared" si="11"/>
        <v>-0.8471585956414543</v>
      </c>
      <c r="G101" s="141">
        <f t="shared" si="12"/>
        <v>-0.2633612049141132</v>
      </c>
      <c r="H101" s="141">
        <f t="shared" si="13"/>
        <v>-0.6079868207383088</v>
      </c>
      <c r="I101" s="141">
        <f t="shared" si="14"/>
        <v>-0.01826650253527202</v>
      </c>
      <c r="J101" s="141">
        <f t="shared" si="15"/>
        <v>0.5150612612251784</v>
      </c>
      <c r="K101" s="141">
        <f t="shared" si="16"/>
        <v>0.004810688117255943</v>
      </c>
    </row>
    <row r="102" spans="1:11" ht="14.25">
      <c r="A102" s="136">
        <v>38139</v>
      </c>
      <c r="B102" s="7">
        <v>11859</v>
      </c>
      <c r="C102" s="139">
        <v>108.69</v>
      </c>
      <c r="D102" s="141">
        <f t="shared" si="9"/>
        <v>5.5446778212887144</v>
      </c>
      <c r="E102" s="141">
        <f t="shared" si="10"/>
        <v>-0.7940854326396537</v>
      </c>
      <c r="F102" s="141">
        <f t="shared" si="11"/>
        <v>1.0109119900832926</v>
      </c>
      <c r="G102" s="141">
        <f t="shared" si="12"/>
        <v>-0.26248989912097676</v>
      </c>
      <c r="H102" s="141">
        <f t="shared" si="13"/>
        <v>1.0330944841399394</v>
      </c>
      <c r="I102" s="141">
        <f t="shared" si="14"/>
        <v>-0.018085802664260242</v>
      </c>
      <c r="J102" s="141">
        <f t="shared" si="15"/>
        <v>1.0443676009059788</v>
      </c>
      <c r="K102" s="141">
        <f t="shared" si="16"/>
        <v>0.004747340516863564</v>
      </c>
    </row>
    <row r="103" spans="1:11" ht="14.25">
      <c r="A103" s="136">
        <v>38169</v>
      </c>
      <c r="B103" s="7">
        <v>11326</v>
      </c>
      <c r="C103" s="139">
        <v>111.67</v>
      </c>
      <c r="D103" s="141">
        <f t="shared" si="9"/>
        <v>-4.4944767686988785</v>
      </c>
      <c r="E103" s="141">
        <f t="shared" si="10"/>
        <v>2.7417425706136758</v>
      </c>
      <c r="F103" s="141">
        <f t="shared" si="11"/>
        <v>-0.8513226733794274</v>
      </c>
      <c r="G103" s="141">
        <f t="shared" si="12"/>
        <v>0.8671140819448171</v>
      </c>
      <c r="H103" s="141">
        <f t="shared" si="13"/>
        <v>-0.6169963579992944</v>
      </c>
      <c r="I103" s="141">
        <f t="shared" si="14"/>
        <v>0.6519716592817466</v>
      </c>
      <c r="J103" s="141">
        <f t="shared" si="15"/>
        <v>0.5252629889573295</v>
      </c>
      <c r="K103" s="141">
        <f t="shared" si="16"/>
        <v>0.5653338067921307</v>
      </c>
    </row>
    <row r="104" spans="1:11" ht="14.25">
      <c r="A104" s="136">
        <v>38200</v>
      </c>
      <c r="B104" s="7">
        <v>11082</v>
      </c>
      <c r="C104" s="139">
        <v>109.86</v>
      </c>
      <c r="D104" s="141">
        <f t="shared" si="9"/>
        <v>-2.15433515804344</v>
      </c>
      <c r="E104" s="141">
        <f t="shared" si="10"/>
        <v>-1.6208471388913785</v>
      </c>
      <c r="F104" s="141">
        <f t="shared" si="11"/>
        <v>-0.4172330510201583</v>
      </c>
      <c r="G104" s="141">
        <f t="shared" si="12"/>
        <v>-0.5266185032033583</v>
      </c>
      <c r="H104" s="141">
        <f t="shared" si="13"/>
        <v>-0.07263335598447583</v>
      </c>
      <c r="I104" s="141">
        <f t="shared" si="14"/>
        <v>-0.1460455548714066</v>
      </c>
      <c r="J104" s="141">
        <f t="shared" si="15"/>
        <v>0.03030503672323612</v>
      </c>
      <c r="K104" s="141">
        <f t="shared" si="16"/>
        <v>0.07691029150588409</v>
      </c>
    </row>
    <row r="105" spans="1:11" ht="14.25">
      <c r="A105" s="136">
        <v>38231</v>
      </c>
      <c r="B105" s="7">
        <v>10824</v>
      </c>
      <c r="C105" s="139">
        <v>110.92</v>
      </c>
      <c r="D105" s="141">
        <f t="shared" si="9"/>
        <v>-2.328099621007038</v>
      </c>
      <c r="E105" s="141">
        <f t="shared" si="10"/>
        <v>0.9648643728381596</v>
      </c>
      <c r="F105" s="141">
        <f t="shared" si="11"/>
        <v>-0.4494658653780052</v>
      </c>
      <c r="G105" s="141">
        <f t="shared" si="12"/>
        <v>0.29944826668756136</v>
      </c>
      <c r="H105" s="141">
        <f t="shared" si="13"/>
        <v>-0.09080089821947213</v>
      </c>
      <c r="I105" s="141">
        <f t="shared" si="14"/>
        <v>0.02685130580637187</v>
      </c>
      <c r="J105" s="141">
        <f t="shared" si="15"/>
        <v>0.04081190429531521</v>
      </c>
      <c r="K105" s="141">
        <f t="shared" si="16"/>
        <v>0.008040576982015709</v>
      </c>
    </row>
    <row r="106" spans="1:11" ht="14.25">
      <c r="A106" s="136">
        <v>38261</v>
      </c>
      <c r="B106" s="7">
        <v>10771</v>
      </c>
      <c r="C106" s="139">
        <v>105.87</v>
      </c>
      <c r="D106" s="141">
        <f t="shared" si="9"/>
        <v>-0.48965262379896524</v>
      </c>
      <c r="E106" s="141">
        <f t="shared" si="10"/>
        <v>-4.552830869094841</v>
      </c>
      <c r="F106" s="141">
        <f t="shared" si="11"/>
        <v>-0.10843916891151967</v>
      </c>
      <c r="G106" s="141">
        <f t="shared" si="12"/>
        <v>-1.4633101327200093</v>
      </c>
      <c r="H106" s="141">
        <f t="shared" si="13"/>
        <v>-0.001275141972917953</v>
      </c>
      <c r="I106" s="141">
        <f t="shared" si="14"/>
        <v>-3.1333516645533424</v>
      </c>
      <c r="J106" s="141">
        <f t="shared" si="15"/>
        <v>0.00013827533578741836</v>
      </c>
      <c r="K106" s="141">
        <f t="shared" si="16"/>
        <v>4.5850652401160135</v>
      </c>
    </row>
    <row r="107" spans="1:11" ht="14.25">
      <c r="A107" s="136">
        <v>38292</v>
      </c>
      <c r="B107" s="7">
        <v>10899</v>
      </c>
      <c r="C107" s="139">
        <v>103.17</v>
      </c>
      <c r="D107" s="141">
        <f t="shared" si="9"/>
        <v>1.188376195339337</v>
      </c>
      <c r="E107" s="141">
        <f t="shared" si="10"/>
        <v>-2.550297534712386</v>
      </c>
      <c r="F107" s="141">
        <f t="shared" si="11"/>
        <v>0.20283041113910721</v>
      </c>
      <c r="G107" s="141">
        <f t="shared" si="12"/>
        <v>-0.8235534407502529</v>
      </c>
      <c r="H107" s="141">
        <f t="shared" si="13"/>
        <v>0.008344478748089447</v>
      </c>
      <c r="I107" s="141">
        <f t="shared" si="14"/>
        <v>-0.5585671078257648</v>
      </c>
      <c r="J107" s="141">
        <f t="shared" si="15"/>
        <v>0.0016925140552165251</v>
      </c>
      <c r="K107" s="141">
        <f t="shared" si="16"/>
        <v>0.4600098635398261</v>
      </c>
    </row>
    <row r="108" spans="1:11" ht="14.25">
      <c r="A108" s="136">
        <v>38322</v>
      </c>
      <c r="B108" s="7">
        <v>11489</v>
      </c>
      <c r="C108" s="139">
        <v>103.78</v>
      </c>
      <c r="D108" s="141">
        <f t="shared" si="9"/>
        <v>5.41334067345628</v>
      </c>
      <c r="E108" s="141">
        <f t="shared" si="10"/>
        <v>0.591257148395851</v>
      </c>
      <c r="F108" s="141">
        <f t="shared" si="11"/>
        <v>0.9865493221811749</v>
      </c>
      <c r="G108" s="141">
        <f t="shared" si="12"/>
        <v>0.180090592135331</v>
      </c>
      <c r="H108" s="141">
        <f t="shared" si="13"/>
        <v>0.9601882952383812</v>
      </c>
      <c r="I108" s="141">
        <f t="shared" si="14"/>
        <v>0.005840809988042548</v>
      </c>
      <c r="J108" s="141">
        <f t="shared" si="15"/>
        <v>0.9472731118337228</v>
      </c>
      <c r="K108" s="141">
        <f t="shared" si="16"/>
        <v>0.001051874929296538</v>
      </c>
    </row>
    <row r="109" spans="1:11" ht="14.25">
      <c r="A109" s="136">
        <v>38353</v>
      </c>
      <c r="B109" s="7">
        <v>11388</v>
      </c>
      <c r="C109" s="139">
        <v>103.58</v>
      </c>
      <c r="D109" s="141">
        <f t="shared" si="9"/>
        <v>-0.8791017494995214</v>
      </c>
      <c r="E109" s="141">
        <f t="shared" si="10"/>
        <v>-0.19271535941414805</v>
      </c>
      <c r="F109" s="141">
        <f t="shared" si="11"/>
        <v>-0.1806808756243677</v>
      </c>
      <c r="G109" s="141">
        <f t="shared" si="12"/>
        <v>-0.0703679892926923</v>
      </c>
      <c r="H109" s="141">
        <f t="shared" si="13"/>
        <v>-0.005898431765809333</v>
      </c>
      <c r="I109" s="141">
        <f t="shared" si="14"/>
        <v>-0.00034843792981936153</v>
      </c>
      <c r="J109" s="141">
        <f t="shared" si="15"/>
        <v>0.0010657338162570155</v>
      </c>
      <c r="K109" s="141">
        <f t="shared" si="16"/>
        <v>2.4518876514696705E-05</v>
      </c>
    </row>
    <row r="110" spans="1:11" ht="14.25">
      <c r="A110" s="136">
        <v>38384</v>
      </c>
      <c r="B110" s="7">
        <v>11741</v>
      </c>
      <c r="C110" s="139">
        <v>104.58</v>
      </c>
      <c r="D110" s="141">
        <f t="shared" si="9"/>
        <v>3.0997541271513875</v>
      </c>
      <c r="E110" s="141">
        <f t="shared" si="10"/>
        <v>0.9654373431164317</v>
      </c>
      <c r="F110" s="141">
        <f t="shared" si="11"/>
        <v>0.5573855888378384</v>
      </c>
      <c r="G110" s="141">
        <f t="shared" si="12"/>
        <v>0.29963131561040857</v>
      </c>
      <c r="H110" s="141">
        <f t="shared" si="13"/>
        <v>0.17316782715357482</v>
      </c>
      <c r="I110" s="141">
        <f t="shared" si="14"/>
        <v>0.026900577500056932</v>
      </c>
      <c r="J110" s="141">
        <f t="shared" si="15"/>
        <v>0.09652125130576433</v>
      </c>
      <c r="K110" s="141">
        <f t="shared" si="16"/>
        <v>0.008060255427021814</v>
      </c>
    </row>
    <row r="111" spans="1:11" ht="14.25">
      <c r="A111" s="136">
        <v>38412</v>
      </c>
      <c r="B111" s="7">
        <v>11669</v>
      </c>
      <c r="C111" s="139">
        <v>106.97</v>
      </c>
      <c r="D111" s="141">
        <f t="shared" si="9"/>
        <v>-0.6132356698747977</v>
      </c>
      <c r="E111" s="141">
        <f aca="true" t="shared" si="17" ref="E111:E132">(C111-C110)/C110*100</f>
        <v>2.2853318034040933</v>
      </c>
      <c r="F111" s="141">
        <f t="shared" si="11"/>
        <v>-0.13136347296081213</v>
      </c>
      <c r="G111" s="141">
        <f t="shared" si="12"/>
        <v>0.7213028549374894</v>
      </c>
      <c r="H111" s="141">
        <f t="shared" si="13"/>
        <v>-0.00226685564670999</v>
      </c>
      <c r="I111" s="141">
        <f t="shared" si="14"/>
        <v>0.3752778686612242</v>
      </c>
      <c r="J111" s="141">
        <f t="shared" si="15"/>
        <v>0.0002977820304526521</v>
      </c>
      <c r="K111" s="141">
        <f t="shared" si="16"/>
        <v>0.2706889980601972</v>
      </c>
    </row>
    <row r="112" spans="1:11" ht="14.25">
      <c r="A112" s="136">
        <v>38443</v>
      </c>
      <c r="B112" s="7">
        <v>11009</v>
      </c>
      <c r="C112" s="139">
        <v>105.87</v>
      </c>
      <c r="D112" s="141">
        <f t="shared" si="9"/>
        <v>-5.656011654811895</v>
      </c>
      <c r="E112" s="141">
        <f t="shared" si="17"/>
        <v>-1.028325698794049</v>
      </c>
      <c r="F112" s="141">
        <f t="shared" si="11"/>
        <v>-1.0667840957882595</v>
      </c>
      <c r="G112" s="141">
        <f t="shared" si="12"/>
        <v>-0.33732349875604317</v>
      </c>
      <c r="H112" s="141">
        <f t="shared" si="13"/>
        <v>-1.2140304984930015</v>
      </c>
      <c r="I112" s="141">
        <f t="shared" si="14"/>
        <v>-0.03838307712714087</v>
      </c>
      <c r="J112" s="141">
        <f t="shared" si="15"/>
        <v>1.2951084275942264</v>
      </c>
      <c r="K112" s="141">
        <f t="shared" si="16"/>
        <v>0.012947513869550212</v>
      </c>
    </row>
    <row r="113" spans="1:11" ht="14.25">
      <c r="A113" s="136">
        <v>38473</v>
      </c>
      <c r="B113" s="7">
        <v>11277</v>
      </c>
      <c r="C113" s="139">
        <v>108.17</v>
      </c>
      <c r="D113" s="141">
        <f t="shared" si="9"/>
        <v>2.434371877554728</v>
      </c>
      <c r="E113" s="141">
        <f t="shared" si="17"/>
        <v>2.1724756777179532</v>
      </c>
      <c r="F113" s="141">
        <f t="shared" si="11"/>
        <v>0.4339590713412855</v>
      </c>
      <c r="G113" s="141">
        <f t="shared" si="12"/>
        <v>0.6852482932491301</v>
      </c>
      <c r="H113" s="141">
        <f t="shared" si="13"/>
        <v>0.08172337870566088</v>
      </c>
      <c r="I113" s="141">
        <f t="shared" si="14"/>
        <v>0.321768767904576</v>
      </c>
      <c r="J113" s="141">
        <f t="shared" si="15"/>
        <v>0.03546460152998078</v>
      </c>
      <c r="K113" s="141">
        <f t="shared" si="16"/>
        <v>0.22049149902748616</v>
      </c>
    </row>
    <row r="114" spans="1:11" ht="14.25">
      <c r="A114" s="136">
        <v>38504</v>
      </c>
      <c r="B114" s="7">
        <v>11584</v>
      </c>
      <c r="C114" s="139">
        <v>110.37</v>
      </c>
      <c r="D114" s="141">
        <f t="shared" si="9"/>
        <v>2.7223552363217167</v>
      </c>
      <c r="E114" s="141">
        <f t="shared" si="17"/>
        <v>2.0338356291023416</v>
      </c>
      <c r="F114" s="141">
        <f t="shared" si="11"/>
        <v>0.4873791664687348</v>
      </c>
      <c r="G114" s="141">
        <f t="shared" si="12"/>
        <v>0.6409564468393912</v>
      </c>
      <c r="H114" s="141">
        <f t="shared" si="13"/>
        <v>0.11577129269507709</v>
      </c>
      <c r="I114" s="141">
        <f t="shared" si="14"/>
        <v>0.26332103914906113</v>
      </c>
      <c r="J114" s="141">
        <f t="shared" si="15"/>
        <v>0.0564245161347346</v>
      </c>
      <c r="K114" s="141">
        <f t="shared" si="16"/>
        <v>0.16877731763103845</v>
      </c>
    </row>
    <row r="115" spans="1:11" ht="14.25">
      <c r="A115" s="136">
        <v>38534</v>
      </c>
      <c r="B115" s="7">
        <v>11900</v>
      </c>
      <c r="C115" s="139">
        <v>112.18</v>
      </c>
      <c r="D115" s="141">
        <f t="shared" si="9"/>
        <v>2.727900552486188</v>
      </c>
      <c r="E115" s="141">
        <f t="shared" si="17"/>
        <v>1.6399383890549988</v>
      </c>
      <c r="F115" s="141">
        <f t="shared" si="11"/>
        <v>0.4884078068675626</v>
      </c>
      <c r="G115" s="141">
        <f t="shared" si="12"/>
        <v>0.5151166463516671</v>
      </c>
      <c r="H115" s="141">
        <f t="shared" si="13"/>
        <v>0.11650586581645733</v>
      </c>
      <c r="I115" s="141">
        <f t="shared" si="14"/>
        <v>0.1366837086092936</v>
      </c>
      <c r="J115" s="141">
        <f t="shared" si="15"/>
        <v>0.05690237441062245</v>
      </c>
      <c r="K115" s="141">
        <f t="shared" si="16"/>
        <v>0.07040805358972782</v>
      </c>
    </row>
    <row r="116" spans="1:11" ht="14.25">
      <c r="A116" s="136">
        <v>38565</v>
      </c>
      <c r="B116" s="7">
        <v>12414</v>
      </c>
      <c r="C116" s="139">
        <v>111.42</v>
      </c>
      <c r="D116" s="141">
        <f t="shared" si="9"/>
        <v>4.319327731092438</v>
      </c>
      <c r="E116" s="141">
        <f t="shared" si="17"/>
        <v>-0.6774826172223257</v>
      </c>
      <c r="F116" s="141">
        <f t="shared" si="11"/>
        <v>0.783613028563516</v>
      </c>
      <c r="G116" s="141">
        <f t="shared" si="12"/>
        <v>-0.225238368679535</v>
      </c>
      <c r="H116" s="141">
        <f t="shared" si="13"/>
        <v>0.4811770932009532</v>
      </c>
      <c r="I116" s="141">
        <f t="shared" si="14"/>
        <v>-0.011426865609996882</v>
      </c>
      <c r="J116" s="141">
        <f t="shared" si="15"/>
        <v>0.3770566392785881</v>
      </c>
      <c r="K116" s="141">
        <f t="shared" si="16"/>
        <v>0.0025737685691159776</v>
      </c>
    </row>
    <row r="117" spans="1:11" ht="14.25">
      <c r="A117" s="136">
        <v>38596</v>
      </c>
      <c r="B117" s="7">
        <v>13574</v>
      </c>
      <c r="C117" s="139">
        <v>113.28</v>
      </c>
      <c r="D117" s="141">
        <f t="shared" si="9"/>
        <v>9.34428870629934</v>
      </c>
      <c r="E117" s="141">
        <f t="shared" si="17"/>
        <v>1.6693591814754976</v>
      </c>
      <c r="F117" s="141">
        <f t="shared" si="11"/>
        <v>1.7157290176838003</v>
      </c>
      <c r="G117" s="141">
        <f t="shared" si="12"/>
        <v>0.524515815149959</v>
      </c>
      <c r="H117" s="141">
        <f t="shared" si="13"/>
        <v>5.050636224895155</v>
      </c>
      <c r="I117" s="141">
        <f t="shared" si="14"/>
        <v>0.14430313377368872</v>
      </c>
      <c r="J117" s="141">
        <f t="shared" si="15"/>
        <v>8.665523128817583</v>
      </c>
      <c r="K117" s="141">
        <f t="shared" si="16"/>
        <v>0.07568927583999992</v>
      </c>
    </row>
    <row r="118" spans="1:11" ht="14.25">
      <c r="A118" s="136">
        <v>38626</v>
      </c>
      <c r="B118" s="7">
        <v>13607</v>
      </c>
      <c r="C118" s="139">
        <v>115.67</v>
      </c>
      <c r="D118" s="141">
        <f t="shared" si="9"/>
        <v>0.24311183144246357</v>
      </c>
      <c r="E118" s="141">
        <f t="shared" si="17"/>
        <v>2.1098163841807915</v>
      </c>
      <c r="F118" s="141">
        <f t="shared" si="11"/>
        <v>0.02748655635472029</v>
      </c>
      <c r="G118" s="141">
        <f t="shared" si="12"/>
        <v>0.6652302982094327</v>
      </c>
      <c r="H118" s="141">
        <f t="shared" si="13"/>
        <v>2.0766389637698836E-05</v>
      </c>
      <c r="I118" s="141">
        <f t="shared" si="14"/>
        <v>0.2943852616985577</v>
      </c>
      <c r="J118" s="141">
        <f t="shared" si="15"/>
        <v>5.707965390606885E-07</v>
      </c>
      <c r="K118" s="141">
        <f t="shared" si="16"/>
        <v>0.19583399542819344</v>
      </c>
    </row>
    <row r="119" spans="1:11" ht="14.25">
      <c r="A119" s="136">
        <v>38657</v>
      </c>
      <c r="B119" s="7">
        <v>14872</v>
      </c>
      <c r="C119" s="139">
        <v>119.46</v>
      </c>
      <c r="D119" s="141">
        <f t="shared" si="9"/>
        <v>9.296685529506872</v>
      </c>
      <c r="E119" s="141">
        <f t="shared" si="17"/>
        <v>3.2765626350825556</v>
      </c>
      <c r="F119" s="141">
        <f t="shared" si="11"/>
        <v>1.7068987635902644</v>
      </c>
      <c r="G119" s="141">
        <f t="shared" si="12"/>
        <v>1.0379750156276897</v>
      </c>
      <c r="H119" s="141">
        <f t="shared" si="13"/>
        <v>4.973055332649307</v>
      </c>
      <c r="I119" s="141">
        <f t="shared" si="14"/>
        <v>1.1183061161576833</v>
      </c>
      <c r="J119" s="141">
        <f t="shared" si="15"/>
        <v>8.488501998565072</v>
      </c>
      <c r="K119" s="141">
        <f t="shared" si="16"/>
        <v>1.1607738083953123</v>
      </c>
    </row>
    <row r="120" spans="1:11" ht="14.25">
      <c r="A120" s="136">
        <v>38687</v>
      </c>
      <c r="B120" s="7">
        <v>16111</v>
      </c>
      <c r="C120" s="139">
        <v>117.48</v>
      </c>
      <c r="D120" s="141">
        <f t="shared" si="9"/>
        <v>8.331091984938139</v>
      </c>
      <c r="E120" s="141">
        <f t="shared" si="17"/>
        <v>-1.6574585635359032</v>
      </c>
      <c r="F120" s="141">
        <f t="shared" si="11"/>
        <v>1.527783903529727</v>
      </c>
      <c r="G120" s="141">
        <f t="shared" si="12"/>
        <v>-0.538314889733725</v>
      </c>
      <c r="H120" s="141">
        <f t="shared" si="13"/>
        <v>3.5660365503083438</v>
      </c>
      <c r="I120" s="141">
        <f t="shared" si="14"/>
        <v>-0.15599446090053662</v>
      </c>
      <c r="J120" s="141">
        <f t="shared" si="15"/>
        <v>5.448133240959763</v>
      </c>
      <c r="K120" s="141">
        <f t="shared" si="16"/>
        <v>0.08397414101874424</v>
      </c>
    </row>
    <row r="121" spans="1:11" ht="14.25">
      <c r="A121" s="136">
        <v>38718</v>
      </c>
      <c r="B121" s="7">
        <v>16650</v>
      </c>
      <c r="C121" s="139">
        <v>117.18</v>
      </c>
      <c r="D121" s="141">
        <f t="shared" si="9"/>
        <v>3.345540314071131</v>
      </c>
      <c r="E121" s="141">
        <f t="shared" si="17"/>
        <v>-0.2553626149131743</v>
      </c>
      <c r="F121" s="141">
        <f t="shared" si="11"/>
        <v>0.6029782284350775</v>
      </c>
      <c r="G121" s="141">
        <f t="shared" si="12"/>
        <v>-0.09038213849605665</v>
      </c>
      <c r="H121" s="141">
        <f t="shared" si="13"/>
        <v>0.21923247884660788</v>
      </c>
      <c r="I121" s="141">
        <f t="shared" si="14"/>
        <v>-0.0007383254493119419</v>
      </c>
      <c r="J121" s="141">
        <f t="shared" si="15"/>
        <v>0.13219241171035823</v>
      </c>
      <c r="K121" s="141">
        <f t="shared" si="16"/>
        <v>6.673143301487519E-05</v>
      </c>
    </row>
    <row r="122" spans="1:11" ht="14.25">
      <c r="A122" s="136">
        <v>38749</v>
      </c>
      <c r="B122" s="7">
        <v>16205</v>
      </c>
      <c r="C122" s="139">
        <v>116.35</v>
      </c>
      <c r="D122" s="141">
        <f t="shared" si="9"/>
        <v>-2.6726726726726726</v>
      </c>
      <c r="E122" s="141">
        <f t="shared" si="17"/>
        <v>-0.7083119986345898</v>
      </c>
      <c r="F122" s="141">
        <f t="shared" si="11"/>
        <v>-0.5133831878133865</v>
      </c>
      <c r="G122" s="141">
        <f t="shared" si="12"/>
        <v>-0.23508754458544634</v>
      </c>
      <c r="H122" s="141">
        <f t="shared" si="13"/>
        <v>-0.13530845249308157</v>
      </c>
      <c r="I122" s="141">
        <f t="shared" si="14"/>
        <v>-0.01299238435302315</v>
      </c>
      <c r="J122" s="141">
        <f t="shared" si="15"/>
        <v>0.06946508467899438</v>
      </c>
      <c r="K122" s="141">
        <f t="shared" si="16"/>
        <v>0.003054347735862585</v>
      </c>
    </row>
    <row r="123" spans="1:11" ht="14.25">
      <c r="A123" s="136">
        <v>38777</v>
      </c>
      <c r="B123" s="7">
        <v>17060</v>
      </c>
      <c r="C123" s="139">
        <v>117.47</v>
      </c>
      <c r="D123" s="141">
        <f t="shared" si="9"/>
        <v>5.276149336624498</v>
      </c>
      <c r="E123" s="141">
        <f t="shared" si="17"/>
        <v>0.9626128061882292</v>
      </c>
      <c r="F123" s="141">
        <f t="shared" si="11"/>
        <v>0.9611007188466137</v>
      </c>
      <c r="G123" s="141">
        <f t="shared" si="12"/>
        <v>0.2987289504060408</v>
      </c>
      <c r="H123" s="141">
        <f t="shared" si="13"/>
        <v>0.8877827581568292</v>
      </c>
      <c r="I123" s="141">
        <f t="shared" si="14"/>
        <v>0.02665826856652842</v>
      </c>
      <c r="J123" s="141">
        <f t="shared" si="15"/>
        <v>0.853248647044158</v>
      </c>
      <c r="K123" s="141">
        <f t="shared" si="16"/>
        <v>0.007963596588521384</v>
      </c>
    </row>
    <row r="124" spans="1:11" ht="14.25">
      <c r="A124" s="136">
        <v>38808</v>
      </c>
      <c r="B124" s="7">
        <v>16906</v>
      </c>
      <c r="C124" s="139">
        <v>114.32</v>
      </c>
      <c r="D124" s="141">
        <f t="shared" si="9"/>
        <v>-0.902696365767878</v>
      </c>
      <c r="E124" s="141">
        <f t="shared" si="17"/>
        <v>-2.6815357112454294</v>
      </c>
      <c r="F124" s="141">
        <f t="shared" si="11"/>
        <v>-0.18505760992925196</v>
      </c>
      <c r="G124" s="141">
        <f t="shared" si="12"/>
        <v>-0.865480583853124</v>
      </c>
      <c r="H124" s="141">
        <f t="shared" si="13"/>
        <v>-0.006337541941668839</v>
      </c>
      <c r="I124" s="141">
        <f t="shared" si="14"/>
        <v>-0.6482939790148866</v>
      </c>
      <c r="J124" s="141">
        <f t="shared" si="15"/>
        <v>0.0011728103645516261</v>
      </c>
      <c r="K124" s="141">
        <f t="shared" si="16"/>
        <v>0.561085851466269</v>
      </c>
    </row>
    <row r="125" spans="1:11" ht="14.25">
      <c r="A125" s="136">
        <v>38838</v>
      </c>
      <c r="B125" s="7">
        <v>15467</v>
      </c>
      <c r="C125" s="139">
        <v>111.85</v>
      </c>
      <c r="D125" s="141">
        <f t="shared" si="9"/>
        <v>-8.511770968886784</v>
      </c>
      <c r="E125" s="141">
        <f t="shared" si="17"/>
        <v>-2.160601819454163</v>
      </c>
      <c r="F125" s="141">
        <f t="shared" si="11"/>
        <v>-1.5965193376860887</v>
      </c>
      <c r="G125" s="141">
        <f t="shared" si="12"/>
        <v>-0.6990559168449784</v>
      </c>
      <c r="H125" s="141">
        <f t="shared" si="13"/>
        <v>-4.069326623309591</v>
      </c>
      <c r="I125" s="141">
        <f t="shared" si="14"/>
        <v>-0.34161406863597105</v>
      </c>
      <c r="J125" s="141">
        <f t="shared" si="15"/>
        <v>6.496758645474595</v>
      </c>
      <c r="K125" s="141">
        <f t="shared" si="16"/>
        <v>0.2388073359574621</v>
      </c>
    </row>
    <row r="126" spans="1:11" ht="14.25">
      <c r="A126" s="136">
        <v>38869</v>
      </c>
      <c r="B126" s="7">
        <v>15505</v>
      </c>
      <c r="C126" s="139">
        <v>114.66</v>
      </c>
      <c r="D126" s="141">
        <f t="shared" si="9"/>
        <v>0.24568436025085666</v>
      </c>
      <c r="E126" s="141">
        <f t="shared" si="17"/>
        <v>2.5122932498882453</v>
      </c>
      <c r="F126" s="141">
        <f t="shared" si="11"/>
        <v>0.027963753142239027</v>
      </c>
      <c r="G126" s="141">
        <f t="shared" si="12"/>
        <v>0.7938110632725827</v>
      </c>
      <c r="H126" s="141">
        <f t="shared" si="13"/>
        <v>2.186685770503841E-05</v>
      </c>
      <c r="I126" s="141">
        <f t="shared" si="14"/>
        <v>0.5002089314796584</v>
      </c>
      <c r="J126" s="141">
        <f t="shared" si="15"/>
        <v>6.114794108601615E-07</v>
      </c>
      <c r="K126" s="141">
        <f t="shared" si="16"/>
        <v>0.39707138375631007</v>
      </c>
    </row>
    <row r="127" spans="1:11" ht="14.25">
      <c r="A127" s="136">
        <v>38899</v>
      </c>
      <c r="B127" s="7">
        <v>15457</v>
      </c>
      <c r="C127" s="139">
        <v>114.47</v>
      </c>
      <c r="D127" s="141">
        <f t="shared" si="9"/>
        <v>-0.309577555627217</v>
      </c>
      <c r="E127" s="141">
        <f t="shared" si="17"/>
        <v>-0.16570730856444943</v>
      </c>
      <c r="F127" s="141">
        <f t="shared" si="11"/>
        <v>-0.07503575521079925</v>
      </c>
      <c r="G127" s="141">
        <f t="shared" si="12"/>
        <v>-0.061739627920878955</v>
      </c>
      <c r="H127" s="141">
        <f t="shared" si="13"/>
        <v>-0.0004224786568758454</v>
      </c>
      <c r="I127" s="141">
        <f t="shared" si="14"/>
        <v>-0.00023533798114525338</v>
      </c>
      <c r="J127" s="141">
        <f t="shared" si="15"/>
        <v>3.170100507912318E-05</v>
      </c>
      <c r="K127" s="141">
        <f t="shared" si="16"/>
        <v>1.452967939155877E-05</v>
      </c>
    </row>
    <row r="128" spans="1:11" ht="14.25">
      <c r="A128" s="136">
        <v>38930</v>
      </c>
      <c r="B128" s="7">
        <v>16141</v>
      </c>
      <c r="C128" s="139">
        <v>117.23</v>
      </c>
      <c r="D128" s="141">
        <f t="shared" si="9"/>
        <v>4.425179530309892</v>
      </c>
      <c r="E128" s="141">
        <f t="shared" si="17"/>
        <v>2.4111120817681533</v>
      </c>
      <c r="F128" s="141">
        <f t="shared" si="11"/>
        <v>0.803248236680466</v>
      </c>
      <c r="G128" s="141">
        <f t="shared" si="12"/>
        <v>0.7614863432318508</v>
      </c>
      <c r="H128" s="141">
        <f t="shared" si="13"/>
        <v>0.5182619711984523</v>
      </c>
      <c r="I128" s="141">
        <f t="shared" si="14"/>
        <v>0.4415565758487472</v>
      </c>
      <c r="J128" s="141">
        <f t="shared" si="15"/>
        <v>0.41629301450369927</v>
      </c>
      <c r="K128" s="141">
        <f t="shared" si="16"/>
        <v>0.33623930227303983</v>
      </c>
    </row>
    <row r="129" spans="1:11" ht="14.25">
      <c r="A129" s="136">
        <v>38961</v>
      </c>
      <c r="B129" s="7">
        <v>16128</v>
      </c>
      <c r="C129" s="139">
        <v>118.05</v>
      </c>
      <c r="D129" s="141">
        <f t="shared" si="9"/>
        <v>-0.08054023914255622</v>
      </c>
      <c r="E129" s="141">
        <f t="shared" si="17"/>
        <v>0.6994796553783102</v>
      </c>
      <c r="F129" s="141">
        <f t="shared" si="11"/>
        <v>-0.03254998350950464</v>
      </c>
      <c r="G129" s="141">
        <f t="shared" si="12"/>
        <v>0.21466483460861455</v>
      </c>
      <c r="H129" s="141">
        <f t="shared" si="13"/>
        <v>-3.448675395986336E-05</v>
      </c>
      <c r="I129" s="141">
        <f t="shared" si="14"/>
        <v>0.009891968358315068</v>
      </c>
      <c r="J129" s="141">
        <f t="shared" si="15"/>
        <v>1.1225432726898962E-06</v>
      </c>
      <c r="K129" s="141">
        <f t="shared" si="16"/>
        <v>0.0021234577515913526</v>
      </c>
    </row>
    <row r="130" spans="1:11" ht="14.25">
      <c r="A130" s="136">
        <v>38991</v>
      </c>
      <c r="B130" s="7">
        <v>16399</v>
      </c>
      <c r="C130" s="139">
        <v>117.74</v>
      </c>
      <c r="D130" s="141">
        <f t="shared" si="9"/>
        <v>1.6803075396825395</v>
      </c>
      <c r="E130" s="141">
        <f t="shared" si="17"/>
        <v>-0.26260059296908284</v>
      </c>
      <c r="F130" s="141">
        <f t="shared" si="11"/>
        <v>0.29408227834248485</v>
      </c>
      <c r="G130" s="141">
        <f t="shared" si="12"/>
        <v>-0.0926944819752356</v>
      </c>
      <c r="H130" s="141">
        <f t="shared" si="13"/>
        <v>0.02543352540388808</v>
      </c>
      <c r="I130" s="141">
        <f t="shared" si="14"/>
        <v>-0.0007964557375065038</v>
      </c>
      <c r="J130" s="141">
        <f t="shared" si="15"/>
        <v>0.007479549097056874</v>
      </c>
      <c r="K130" s="141">
        <f t="shared" si="16"/>
        <v>7.38270520043696E-05</v>
      </c>
    </row>
    <row r="131" spans="1:11" ht="14.25">
      <c r="A131" s="136">
        <v>39022</v>
      </c>
      <c r="B131" s="7">
        <v>16274</v>
      </c>
      <c r="C131" s="139">
        <v>116.12</v>
      </c>
      <c r="D131" s="141">
        <f t="shared" si="9"/>
        <v>-0.7622416000975669</v>
      </c>
      <c r="E131" s="141">
        <f t="shared" si="17"/>
        <v>-1.3759130287073131</v>
      </c>
      <c r="F131" s="141">
        <f t="shared" si="11"/>
        <v>-0.1590036498138604</v>
      </c>
      <c r="G131" s="141">
        <f t="shared" si="12"/>
        <v>-0.44836850187180183</v>
      </c>
      <c r="H131" s="141">
        <f t="shared" si="13"/>
        <v>-0.004019955819186846</v>
      </c>
      <c r="I131" s="141">
        <f t="shared" si="14"/>
        <v>-0.09013745395571263</v>
      </c>
      <c r="J131" s="141">
        <f t="shared" si="15"/>
        <v>0.0006391876473411756</v>
      </c>
      <c r="K131" s="141">
        <f t="shared" si="16"/>
        <v>0.04041479519266138</v>
      </c>
    </row>
    <row r="132" spans="1:11" ht="14.25">
      <c r="A132" s="137">
        <v>39052</v>
      </c>
      <c r="B132" s="4">
        <v>17226</v>
      </c>
      <c r="C132" s="140">
        <v>118.92</v>
      </c>
      <c r="D132" s="142">
        <f t="shared" si="9"/>
        <v>5.849821801646798</v>
      </c>
      <c r="E132" s="142">
        <f t="shared" si="17"/>
        <v>2.411298656562175</v>
      </c>
      <c r="F132" s="142">
        <f t="shared" si="11"/>
        <v>1.0675153317766803</v>
      </c>
      <c r="G132" s="142">
        <f t="shared" si="12"/>
        <v>0.7615459489677349</v>
      </c>
      <c r="H132" s="142">
        <f t="shared" si="13"/>
        <v>1.2165287118936132</v>
      </c>
      <c r="I132" s="142">
        <f t="shared" si="14"/>
        <v>0.4416602731707651</v>
      </c>
      <c r="J132" s="142">
        <f t="shared" si="15"/>
        <v>1.2986630514929682</v>
      </c>
      <c r="K132" s="142">
        <f t="shared" si="16"/>
        <v>0.33634459185317933</v>
      </c>
    </row>
    <row r="133" spans="3:11" ht="13.5">
      <c r="C133" s="28" t="s">
        <v>1</v>
      </c>
      <c r="D133" s="61">
        <f aca="true" t="shared" si="18" ref="D133:K133">AVERAGE(D14:D132)</f>
        <v>0.09493405674765432</v>
      </c>
      <c r="E133" s="61">
        <f t="shared" si="18"/>
        <v>0.02754688403065438</v>
      </c>
      <c r="F133" s="61">
        <f t="shared" si="18"/>
        <v>-9.329605248950896E-18</v>
      </c>
      <c r="G133" s="61">
        <f t="shared" si="18"/>
        <v>6.530723674265627E-18</v>
      </c>
      <c r="H133" s="145">
        <f t="shared" si="18"/>
        <v>-0.29398896397711627</v>
      </c>
      <c r="I133" s="61">
        <f t="shared" si="18"/>
        <v>-0.7873393113272243</v>
      </c>
      <c r="J133" s="61">
        <f t="shared" si="18"/>
        <v>2.4032460293278133</v>
      </c>
      <c r="K133" s="61">
        <f t="shared" si="18"/>
        <v>6.120042301647289</v>
      </c>
    </row>
    <row r="134" spans="3:11" ht="13.5">
      <c r="C134" s="28" t="s">
        <v>2</v>
      </c>
      <c r="D134" s="61">
        <f>VARP(D14:D132)</f>
        <v>29.061998170953274</v>
      </c>
      <c r="E134" s="61">
        <f>VARP(E14:E132)</f>
        <v>9.797828503286395</v>
      </c>
      <c r="F134" s="61">
        <f>VARP(F14:F132)</f>
        <v>0.9999999999999999</v>
      </c>
      <c r="G134" s="61">
        <f>VARP(G14:G132)</f>
        <v>0.9999999999999998</v>
      </c>
      <c r="H134" s="143"/>
      <c r="I134" s="143"/>
      <c r="J134" s="143"/>
      <c r="K134" s="143"/>
    </row>
    <row r="135" spans="3:11" ht="13.5">
      <c r="C135" s="28" t="s">
        <v>8</v>
      </c>
      <c r="D135" s="61">
        <f>STDEVP(D14:D132)</f>
        <v>5.390918119481437</v>
      </c>
      <c r="E135" s="61">
        <f>STDEVP(E14:E132)</f>
        <v>3.130148319694515</v>
      </c>
      <c r="F135" s="61">
        <f>STDEVP(F14:F132)</f>
        <v>1</v>
      </c>
      <c r="G135" s="61">
        <f>STDEVP(G14:G132)</f>
        <v>0.9999999999999999</v>
      </c>
      <c r="H135" s="144"/>
      <c r="I135" s="144"/>
      <c r="J135" s="144"/>
      <c r="K135" s="144"/>
    </row>
    <row r="136" spans="3:11" ht="13.5">
      <c r="C136" s="28" t="s">
        <v>43</v>
      </c>
      <c r="D136" s="61">
        <f>SKEW(D14:D132)</f>
        <v>-0.2977554026920268</v>
      </c>
      <c r="E136" s="61">
        <f>SKEW(E14:E132)</f>
        <v>-0.7974263065117935</v>
      </c>
      <c r="F136" s="144"/>
      <c r="G136" s="144"/>
      <c r="H136" s="143"/>
      <c r="I136" s="143"/>
      <c r="J136" s="143"/>
      <c r="K136" s="143"/>
    </row>
    <row r="137" spans="3:11" ht="13.5">
      <c r="C137" s="28" t="s">
        <v>44</v>
      </c>
      <c r="D137" s="61">
        <f>KURT(D14:D132)+3</f>
        <v>2.429558191517967</v>
      </c>
      <c r="E137" s="61">
        <f>KURT(E14:E132)+3</f>
        <v>6.307382772717773</v>
      </c>
      <c r="F137" s="144"/>
      <c r="G137" s="144"/>
      <c r="H137" s="143"/>
      <c r="I137" s="143"/>
      <c r="J137" s="143"/>
      <c r="K137" s="143"/>
    </row>
  </sheetData>
  <mergeCells count="6">
    <mergeCell ref="H11:I11"/>
    <mergeCell ref="J11:K11"/>
    <mergeCell ref="B11:C11"/>
    <mergeCell ref="A11:A12"/>
    <mergeCell ref="D11:E11"/>
    <mergeCell ref="F11:G11"/>
  </mergeCells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1212611" r:id="rId1"/>
    <oleObject progId="Equation.3" shapeId="1212612" r:id="rId2"/>
    <oleObject progId="Equation.3" shapeId="121454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dcterms:created xsi:type="dcterms:W3CDTF">2008-01-11T05:10:26Z</dcterms:created>
  <dcterms:modified xsi:type="dcterms:W3CDTF">2008-01-16T17:12:02Z</dcterms:modified>
  <cp:category/>
  <cp:version/>
  <cp:contentType/>
  <cp:contentStatus/>
</cp:coreProperties>
</file>